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05" windowHeight="4740" tabRatio="578" firstSheet="1" activeTab="1"/>
  </bookViews>
  <sheets>
    <sheet name="données" sheetId="1" state="hidden" r:id="rId1"/>
    <sheet name="Participants" sheetId="2" r:id="rId2"/>
    <sheet name="Phase de poule" sheetId="3" r:id="rId3"/>
    <sheet name="Classement" sheetId="4" r:id="rId4"/>
    <sheet name="Phase finale" sheetId="5" r:id="rId5"/>
    <sheet name="Feuille de match" sheetId="6" r:id="rId6"/>
    <sheet name="Saisie FFB" sheetId="7" r:id="rId7"/>
  </sheets>
  <definedNames>
    <definedName name="_xlfn.IFERROR" hidden="1">#NAME?</definedName>
    <definedName name="categorie">'données'!$C$3:$C$13</definedName>
    <definedName name="class_ap_qual">'Classement'!$B$20:$C$31</definedName>
    <definedName name="classement_final">'Feuille de match'!$V$76:$Z$84</definedName>
    <definedName name="forfait">'données'!$K$3:$K$4</definedName>
    <definedName name="format_billard">'données'!$A$26:$A$36</definedName>
    <definedName name="info_joueur">'données'!$G$4:$I$617</definedName>
    <definedName name="Joueur">'données'!$G$4:$G608</definedName>
    <definedName name="lieux">'données'!$M$3:$M$23</definedName>
    <definedName name="mode_de_jeu">'données'!$A$3:$A$7</definedName>
    <definedName name="phase_finale">'Phase finale'!$H$11:$H$16</definedName>
    <definedName name="poule_a_t_1">'Phase de poule'!$C$4:$H$5</definedName>
    <definedName name="poule_a_t_2">'Phase de poule'!$C$11:$H$12</definedName>
    <definedName name="poule_a_t_3">'Phase de poule'!$C$18:$H$19</definedName>
    <definedName name="poule_b_t_1">'Phase de poule'!$C$6:$H$7</definedName>
    <definedName name="poule_b_t_2">'Phase de poule'!$C$13:$H$14</definedName>
    <definedName name="poule_b_t_3">'Phase de poule'!$C$20:$H$21</definedName>
    <definedName name="poule_c_t_1">'Phase de poule'!$C$8:$H$9</definedName>
    <definedName name="poule_c_t_2">'Phase de poule'!$C$15:$H$16</definedName>
    <definedName name="poule_c_t_3">'Phase de poule'!$C$22:$H$23</definedName>
    <definedName name="pt_final">'données'!$A$22:$A$23</definedName>
    <definedName name="pt_qualif">'données'!$A$17:$A$19</definedName>
    <definedName name="ranking">'Feuille de match'!#REF!</definedName>
    <definedName name="resultats">'Saisie FFB'!$A$12:$M$26</definedName>
    <definedName name="tableau_points_ranking">'Feuille de match'!$Y$76:$Z$84</definedName>
    <definedName name="tour">'données'!$E$3:$E$7</definedName>
    <definedName name="tour_num_4">'Phase finale'!$C$4:$I$9</definedName>
    <definedName name="tour_num_5">'Phase finale'!$C$11:$I$16</definedName>
  </definedNames>
  <calcPr fullCalcOnLoad="1"/>
</workbook>
</file>

<file path=xl/comments2.xml><?xml version="1.0" encoding="utf-8"?>
<comments xmlns="http://schemas.openxmlformats.org/spreadsheetml/2006/main">
  <authors>
    <author>Pierre</author>
  </authors>
  <commentList>
    <comment ref="G5" authorId="0">
      <text>
        <r>
          <rPr>
            <u val="single"/>
            <sz val="9"/>
            <rFont val="Tahoma"/>
            <family val="2"/>
          </rPr>
          <t>Distance</t>
        </r>
        <r>
          <rPr>
            <sz val="9"/>
            <rFont val="Tahoma"/>
            <family val="2"/>
          </rPr>
          <t xml:space="preserve"> : </t>
        </r>
        <r>
          <rPr>
            <b/>
            <sz val="9"/>
            <rFont val="Tahoma"/>
            <family val="2"/>
          </rPr>
          <t>25 pts ou 50 rep.</t>
        </r>
        <r>
          <rPr>
            <sz val="9"/>
            <rFont val="Tahoma"/>
            <family val="2"/>
          </rPr>
          <t xml:space="preserve"> par exemple
</t>
        </r>
      </text>
    </comment>
    <comment ref="B7" authorId="0">
      <text>
        <r>
          <rPr>
            <u val="single"/>
            <sz val="9"/>
            <rFont val="Tahoma"/>
            <family val="2"/>
          </rPr>
          <t>Date de l'épreuve :</t>
        </r>
        <r>
          <rPr>
            <b/>
            <sz val="9"/>
            <rFont val="Tahoma"/>
            <family val="2"/>
          </rPr>
          <t xml:space="preserve"> 
23/10/2013</t>
        </r>
        <r>
          <rPr>
            <sz val="9"/>
            <rFont val="Tahoma"/>
            <family val="2"/>
          </rPr>
          <t xml:space="preserve"> par exemple
</t>
        </r>
      </text>
    </comment>
  </commentList>
</comments>
</file>

<file path=xl/sharedStrings.xml><?xml version="1.0" encoding="utf-8"?>
<sst xmlns="http://schemas.openxmlformats.org/spreadsheetml/2006/main" count="2294" uniqueCount="1517">
  <si>
    <t>Directeur de jeu</t>
  </si>
  <si>
    <t>Mode de jeu</t>
  </si>
  <si>
    <t>Catégorie</t>
  </si>
  <si>
    <t>Distance</t>
  </si>
  <si>
    <t>Tour</t>
  </si>
  <si>
    <t>Nom et Prénom</t>
  </si>
  <si>
    <t>Club d'appartenance</t>
  </si>
  <si>
    <t>Points</t>
  </si>
  <si>
    <t>Reprises</t>
  </si>
  <si>
    <t>Série</t>
  </si>
  <si>
    <t>Points de match</t>
  </si>
  <si>
    <t>Moyenne</t>
  </si>
  <si>
    <t>points</t>
  </si>
  <si>
    <t>série</t>
  </si>
  <si>
    <t>points de match</t>
  </si>
  <si>
    <t>reprises</t>
  </si>
  <si>
    <t>Classement général par poule</t>
  </si>
  <si>
    <t>Fédération Française de Billard</t>
  </si>
  <si>
    <t>Ligue de Normandie   -   Tournoi qualificatif pour la finale de Ligue</t>
  </si>
  <si>
    <t>Lieu de l'épreuve :</t>
  </si>
  <si>
    <t>Mode de jeu :</t>
  </si>
  <si>
    <t>Catégorie :</t>
  </si>
  <si>
    <t>Distance :</t>
  </si>
  <si>
    <t>Date de l'épreuve :</t>
  </si>
  <si>
    <t>Performances du tournoi</t>
  </si>
  <si>
    <t>Points effectués</t>
  </si>
  <si>
    <t>Reprises effectuées</t>
  </si>
  <si>
    <t>Meilleure série effectuée</t>
  </si>
  <si>
    <t>Moyenne générale</t>
  </si>
  <si>
    <t>Signature :</t>
  </si>
  <si>
    <t>Club :</t>
  </si>
  <si>
    <t>Points de
match</t>
  </si>
  <si>
    <t xml:space="preserve">Total :   </t>
  </si>
  <si>
    <t>Classement du jour :</t>
  </si>
  <si>
    <t>Points de ranking obtenus :</t>
  </si>
  <si>
    <t>Moyenne particulière :</t>
  </si>
  <si>
    <t>Signature du joueur</t>
  </si>
  <si>
    <t>Tête de série  A</t>
  </si>
  <si>
    <t>Tête de série  B</t>
  </si>
  <si>
    <t>Tête de série  C</t>
  </si>
  <si>
    <t>Forfait</t>
  </si>
  <si>
    <t>Meilleure moyenne particulière</t>
  </si>
  <si>
    <t xml:space="preserve">moyenne </t>
  </si>
  <si>
    <t xml:space="preserve">moyenne particulière </t>
  </si>
  <si>
    <t>Le classement s'effectue selon les points de match puis la moyenne, la moyenne particulière et la série si nécessaire</t>
  </si>
  <si>
    <t>Joueur  N°A2</t>
  </si>
  <si>
    <t>Joueur  N°A3</t>
  </si>
  <si>
    <t>Joueur  N°B2</t>
  </si>
  <si>
    <t>Joueur  N°B3</t>
  </si>
  <si>
    <t>Joueur  N°C2</t>
  </si>
  <si>
    <t>Joueur  N°C3</t>
  </si>
  <si>
    <t>Club</t>
  </si>
  <si>
    <t>Compétiteurs</t>
  </si>
  <si>
    <t>Licence</t>
  </si>
  <si>
    <t>Nom joueur</t>
  </si>
  <si>
    <t>Date de l'épreuve</t>
  </si>
  <si>
    <t>Nationale 3</t>
  </si>
  <si>
    <t>T1</t>
  </si>
  <si>
    <t>LIGUE DE NORMANDIE DE BILLARD</t>
  </si>
  <si>
    <t>Excusé</t>
  </si>
  <si>
    <t>Non excusé</t>
  </si>
  <si>
    <t>T2</t>
  </si>
  <si>
    <t>T3</t>
  </si>
  <si>
    <t>T4</t>
  </si>
  <si>
    <t>T5</t>
  </si>
  <si>
    <t>Libre</t>
  </si>
  <si>
    <t>Bande</t>
  </si>
  <si>
    <t>3 bandes</t>
  </si>
  <si>
    <t>Cadre</t>
  </si>
  <si>
    <t xml:space="preserve">ROUEN BILLARD CLUB                </t>
  </si>
  <si>
    <t xml:space="preserve">CLUB ECOLE HAVRAIS DE BILLARD     </t>
  </si>
  <si>
    <t xml:space="preserve">BILLARD CLUB OSSELIEN             </t>
  </si>
  <si>
    <t xml:space="preserve">BILLARD CLUB SOTTEVILLAIS         </t>
  </si>
  <si>
    <t xml:space="preserve">BILLARD CLUB GAILLONNAIS          </t>
  </si>
  <si>
    <t xml:space="preserve">BILLARD CLUB DE LA SAUSSAYE       </t>
  </si>
  <si>
    <t xml:space="preserve">BILLARD CLUB DE FECAMP            </t>
  </si>
  <si>
    <t xml:space="preserve">BILLARD CLUB ANDELYSIEN           </t>
  </si>
  <si>
    <t xml:space="preserve">ARGENCES BILLARD CLUB             </t>
  </si>
  <si>
    <t xml:space="preserve">BILLARD CLUB DE SAINT NICOLAS     </t>
  </si>
  <si>
    <t xml:space="preserve">BILLARD CLUB LEXOVIEN             </t>
  </si>
  <si>
    <t xml:space="preserve">BILLARD CLUB CORMELLOIS           </t>
  </si>
  <si>
    <t xml:space="preserve">BILLARD AMICAL CLUB LOVERIEN      </t>
  </si>
  <si>
    <t xml:space="preserve">BILLARD CLUB DE SAINT-MARCEL      </t>
  </si>
  <si>
    <t xml:space="preserve">BILLARD CLUB EBROICIEN            </t>
  </si>
  <si>
    <t xml:space="preserve">BILLARD CLUB CANY BARVILLE        </t>
  </si>
  <si>
    <t xml:space="preserve">BILLARD CLUB PACEEN               </t>
  </si>
  <si>
    <t xml:space="preserve">PATRONAGE LAIQUE ARGENTAN         </t>
  </si>
  <si>
    <t>Sans</t>
  </si>
  <si>
    <t>Régionale</t>
  </si>
  <si>
    <t>Régionale 1</t>
  </si>
  <si>
    <t>Régionale 2</t>
  </si>
  <si>
    <t>Régionale 3</t>
  </si>
  <si>
    <t>Régionale 4</t>
  </si>
  <si>
    <t>Nationale 1</t>
  </si>
  <si>
    <t>Nationale 2</t>
  </si>
  <si>
    <t>Joueur blanc</t>
  </si>
  <si>
    <t>Tour :</t>
  </si>
  <si>
    <t>PARTICIPANTS</t>
  </si>
  <si>
    <t>Date :</t>
  </si>
  <si>
    <t>n° et rue</t>
  </si>
  <si>
    <t>LIEU DE L'EPREUVE</t>
  </si>
  <si>
    <t>Classement</t>
  </si>
  <si>
    <t>Saisir 1, 2 ou 3 dans la colonne classement</t>
  </si>
  <si>
    <t>Saisir 4, 5, 6, 7, 8 ou 9 dans la colonne classement</t>
  </si>
  <si>
    <r>
      <t>1</t>
    </r>
    <r>
      <rPr>
        <vertAlign val="superscript"/>
        <sz val="9"/>
        <rFont val="Arial Narrow"/>
        <family val="2"/>
      </rPr>
      <t>er</t>
    </r>
  </si>
  <si>
    <r>
      <t>2</t>
    </r>
    <r>
      <rPr>
        <vertAlign val="superscript"/>
        <sz val="9"/>
        <rFont val="Arial Narrow"/>
        <family val="2"/>
      </rPr>
      <t>ème</t>
    </r>
  </si>
  <si>
    <r>
      <t>3</t>
    </r>
    <r>
      <rPr>
        <vertAlign val="superscript"/>
        <sz val="9"/>
        <rFont val="Arial Narrow"/>
        <family val="2"/>
      </rPr>
      <t>ème</t>
    </r>
  </si>
  <si>
    <t>Classement des vainqueurs de poule</t>
  </si>
  <si>
    <r>
      <t>4</t>
    </r>
    <r>
      <rPr>
        <vertAlign val="superscript"/>
        <sz val="9"/>
        <rFont val="Arial Narrow"/>
        <family val="2"/>
      </rPr>
      <t>ème</t>
    </r>
  </si>
  <si>
    <r>
      <t>5</t>
    </r>
    <r>
      <rPr>
        <vertAlign val="superscript"/>
        <sz val="9"/>
        <rFont val="Arial Narrow"/>
        <family val="2"/>
      </rPr>
      <t>ème</t>
    </r>
  </si>
  <si>
    <r>
      <t>6</t>
    </r>
    <r>
      <rPr>
        <vertAlign val="superscript"/>
        <sz val="9"/>
        <rFont val="Arial Narrow"/>
        <family val="2"/>
      </rPr>
      <t>ème</t>
    </r>
  </si>
  <si>
    <r>
      <t>7</t>
    </r>
    <r>
      <rPr>
        <vertAlign val="superscript"/>
        <sz val="9"/>
        <rFont val="Arial Narrow"/>
        <family val="2"/>
      </rPr>
      <t>ème</t>
    </r>
  </si>
  <si>
    <r>
      <t>8</t>
    </r>
    <r>
      <rPr>
        <vertAlign val="superscript"/>
        <sz val="9"/>
        <rFont val="Arial Narrow"/>
        <family val="2"/>
      </rPr>
      <t>ème</t>
    </r>
  </si>
  <si>
    <r>
      <t>9</t>
    </r>
    <r>
      <rPr>
        <vertAlign val="superscript"/>
        <sz val="9"/>
        <rFont val="Arial Narrow"/>
        <family val="2"/>
      </rPr>
      <t>ème</t>
    </r>
  </si>
  <si>
    <t>Dans tous les feuillets :</t>
  </si>
  <si>
    <t>Finales</t>
  </si>
  <si>
    <t>CP + Ville</t>
  </si>
  <si>
    <t>***</t>
  </si>
  <si>
    <t>Place de la République</t>
  </si>
  <si>
    <t>14370   ARGENCES</t>
  </si>
  <si>
    <t>Le clos Moisson</t>
  </si>
  <si>
    <t>325, allée des Avoineries</t>
  </si>
  <si>
    <t>50460   URVILLE - NACQUEVILLE</t>
  </si>
  <si>
    <t>3, rue Saint Jean</t>
  </si>
  <si>
    <t>27400   LOUVIERS</t>
  </si>
  <si>
    <t>27700   LES ANDELYS</t>
  </si>
  <si>
    <t>Complexe sportif Sporticaux</t>
  </si>
  <si>
    <t>Route de Veulettes</t>
  </si>
  <si>
    <t>76450   CANY - BARVILLE</t>
  </si>
  <si>
    <t>Halle des Sports</t>
  </si>
  <si>
    <t>rue de la Pagnolée</t>
  </si>
  <si>
    <t>14123   CORMELLES LE ROYAL</t>
  </si>
  <si>
    <t>5, rue Henri Dunant</t>
  </si>
  <si>
    <t>76400   FECAMP</t>
  </si>
  <si>
    <t>Le Mille Club</t>
  </si>
  <si>
    <t>rue Lesage  - Maille</t>
  </si>
  <si>
    <t>27370   LA SAUSSAYE</t>
  </si>
  <si>
    <t>93, rue Laurent Lefèbvre</t>
  </si>
  <si>
    <t>76510   SAINT NICOLAS D'ALIERMONT</t>
  </si>
  <si>
    <t>Espace Saint Exupéry</t>
  </si>
  <si>
    <t>2, rue Jules Ferry</t>
  </si>
  <si>
    <t>27950   SAINT MARCEL</t>
  </si>
  <si>
    <t>Maison des Jeunes et de la Cullture</t>
  </si>
  <si>
    <t>1, avenue Aristide Briand</t>
  </si>
  <si>
    <t>27000   EVREUX</t>
  </si>
  <si>
    <t>Centre des Arts Contemporains</t>
  </si>
  <si>
    <t>Allée de l'Ermitage</t>
  </si>
  <si>
    <t>27600   GAILLON</t>
  </si>
  <si>
    <t>13, boulevard Louis Pasteur</t>
  </si>
  <si>
    <t>14100   LISIEUX</t>
  </si>
  <si>
    <t>8, rue du manoir</t>
  </si>
  <si>
    <t>76350   OISSEL</t>
  </si>
  <si>
    <t>12, rue Montferrand</t>
  </si>
  <si>
    <t>27120   PACY SUR EURE</t>
  </si>
  <si>
    <t>123, rue Béranger</t>
  </si>
  <si>
    <t>76300   SOTTEVILLE LES ROUEN</t>
  </si>
  <si>
    <t>76, rue des Briquetiers</t>
  </si>
  <si>
    <t>76600   LE HAVRE</t>
  </si>
  <si>
    <t>Ecole Pierre Curie</t>
  </si>
  <si>
    <t>Route de Urou</t>
  </si>
  <si>
    <t>61200   ARGENTAN</t>
  </si>
  <si>
    <t>Espace de la Petite Bouverie</t>
  </si>
  <si>
    <t>Allée Pierre de Coubertin</t>
  </si>
  <si>
    <t>76100   ROUEN</t>
  </si>
  <si>
    <t>Gymnase Jacques Sébire</t>
  </si>
  <si>
    <t>Chemin de la Couture</t>
  </si>
  <si>
    <t>27300   BERNAY</t>
  </si>
  <si>
    <t>A</t>
  </si>
  <si>
    <t>B</t>
  </si>
  <si>
    <t>C</t>
  </si>
  <si>
    <t>ALEXANDRE JACQUES</t>
  </si>
  <si>
    <t>ALLART ELYSE</t>
  </si>
  <si>
    <t>ARGENTIN JEAN LUC</t>
  </si>
  <si>
    <t>ARRIVE JEAN LUC</t>
  </si>
  <si>
    <t>AZIZIAN RICHARD</t>
  </si>
  <si>
    <t>BAILLY NICOLAS</t>
  </si>
  <si>
    <t>BARBIER JEAN LUC</t>
  </si>
  <si>
    <t>BAUDER GILBERT</t>
  </si>
  <si>
    <t>BAVILLE SYLVAIN</t>
  </si>
  <si>
    <t>BELDAME DANIEL</t>
  </si>
  <si>
    <t>BERMENT DIDIER</t>
  </si>
  <si>
    <t>BETON DOMINIQUE</t>
  </si>
  <si>
    <t>BEZARD GEORGES</t>
  </si>
  <si>
    <t>BIETTE CLAUDE</t>
  </si>
  <si>
    <t>BILLARD DAVID</t>
  </si>
  <si>
    <t>BONHOMME ERIC</t>
  </si>
  <si>
    <t>BOULIER ALAIN</t>
  </si>
  <si>
    <t>BRABANT MATTHIEU</t>
  </si>
  <si>
    <t>BROWANG CLAUDE</t>
  </si>
  <si>
    <t>BROWANG MICHEL</t>
  </si>
  <si>
    <t>BRULARD DANIEL</t>
  </si>
  <si>
    <t>BUTELET JEAN PAUL</t>
  </si>
  <si>
    <t>CADINOT SEBASTIEN</t>
  </si>
  <si>
    <t>CAJEAN PHILIPPE</t>
  </si>
  <si>
    <t>CARPENTIER CHRISTIAN</t>
  </si>
  <si>
    <t>CAZAUX JEAN MARC</t>
  </si>
  <si>
    <t>CHALVET PATRICE</t>
  </si>
  <si>
    <t>CHARBONNIER PHILIPPE</t>
  </si>
  <si>
    <t>CHESNEAU JACQUES</t>
  </si>
  <si>
    <t>CHOLLET LIONEL</t>
  </si>
  <si>
    <t>CHOUPAUT BRUNO</t>
  </si>
  <si>
    <t>COCHARD PATRICK</t>
  </si>
  <si>
    <t>COCY GILLES</t>
  </si>
  <si>
    <t>COLLE GREGORY</t>
  </si>
  <si>
    <t>COUCHOT BERNARD</t>
  </si>
  <si>
    <t>CUVIER GILLES</t>
  </si>
  <si>
    <t>DAIREAUX SERGE</t>
  </si>
  <si>
    <t>DAVITTI CLAUDE</t>
  </si>
  <si>
    <t>DAVOINE BRUNO</t>
  </si>
  <si>
    <t>DELAMARRE ERIC</t>
  </si>
  <si>
    <t>DONNEGER ABEL</t>
  </si>
  <si>
    <t>DUMOND PIERRE</t>
  </si>
  <si>
    <t>DURANTI GILLES</t>
  </si>
  <si>
    <t>DUVAL LUDOVIC</t>
  </si>
  <si>
    <t>ECOURTEMER STEPHANE</t>
  </si>
  <si>
    <t>ESTRIER JEAN CLAUDE</t>
  </si>
  <si>
    <t>EUDIER MICHEL</t>
  </si>
  <si>
    <t>FERNANDEZ ROBIN</t>
  </si>
  <si>
    <t>FLEURY YVES</t>
  </si>
  <si>
    <t>FONTAINE YANN</t>
  </si>
  <si>
    <t>FRANCOIS RENE</t>
  </si>
  <si>
    <t>GARREAU CYRIL</t>
  </si>
  <si>
    <t>GAUTHIER EMILE</t>
  </si>
  <si>
    <t>GAUTHIER GIOVANNI</t>
  </si>
  <si>
    <t>GERVAIS PHILIPPE</t>
  </si>
  <si>
    <t>GEYER SERGE</t>
  </si>
  <si>
    <t>GODILLE SYLVAIN</t>
  </si>
  <si>
    <t>GONZALES JOSE</t>
  </si>
  <si>
    <t>GOUDIER DANIELLE</t>
  </si>
  <si>
    <t>GOUSSETIS GEORGES</t>
  </si>
  <si>
    <t>GRASSIN MICHEL</t>
  </si>
  <si>
    <t>GRENU GUY</t>
  </si>
  <si>
    <t>GROSDEMANGE JULIEN</t>
  </si>
  <si>
    <t>GUERET GERARD</t>
  </si>
  <si>
    <t>GUEROULT DOMINIQUE</t>
  </si>
  <si>
    <t>GUIGNON JIM</t>
  </si>
  <si>
    <t>GUYADER GAEL</t>
  </si>
  <si>
    <t>HAFED LAURENT</t>
  </si>
  <si>
    <t>HAQUIN HERVE</t>
  </si>
  <si>
    <t>HENRY SERGE</t>
  </si>
  <si>
    <t>HUE JEAN</t>
  </si>
  <si>
    <t>IPPOLITO PASCAL</t>
  </si>
  <si>
    <t>JACQ LAURENT</t>
  </si>
  <si>
    <t>JUBLOT DENIS</t>
  </si>
  <si>
    <t>LAINE ALAIN</t>
  </si>
  <si>
    <t>LAMBERT EUDES</t>
  </si>
  <si>
    <t>LE MOULEC JOHNNY</t>
  </si>
  <si>
    <t>LE SELLIN DANIEL</t>
  </si>
  <si>
    <t>LEBOUCHER PASCAL</t>
  </si>
  <si>
    <t>LEBOURGEOIS PHILIPPE</t>
  </si>
  <si>
    <t>LEBRETON ALAIN</t>
  </si>
  <si>
    <t>LEFEVRE PHILIPPE</t>
  </si>
  <si>
    <t>LEFEVRE YANNICK</t>
  </si>
  <si>
    <t>LEGENDRE CEDRIC</t>
  </si>
  <si>
    <t>LEGENDRE CHARLES</t>
  </si>
  <si>
    <t>LEGENDRE GERARD</t>
  </si>
  <si>
    <t>LEGENDRE NATHAN</t>
  </si>
  <si>
    <t>LEGRET ALEXIAN</t>
  </si>
  <si>
    <t>LEHARIVEL DENIS</t>
  </si>
  <si>
    <t>LELEVRIER MICHEL</t>
  </si>
  <si>
    <t>LELOIR MICHEL</t>
  </si>
  <si>
    <t>LEMOIGNE PIERRE</t>
  </si>
  <si>
    <t>LEPINAY PIERRE</t>
  </si>
  <si>
    <t>LEPORQ FRANCOIS</t>
  </si>
  <si>
    <t>LESCAN JACQUES</t>
  </si>
  <si>
    <t>LESELLIER PASCAL</t>
  </si>
  <si>
    <t>LHEUREUX RICHARD</t>
  </si>
  <si>
    <t>LIARD BERNARD</t>
  </si>
  <si>
    <t>LIBERT LOUIS PIERRE</t>
  </si>
  <si>
    <t>LOMBARD PATRICK</t>
  </si>
  <si>
    <t>LORGET EMMANUEL</t>
  </si>
  <si>
    <t>LOURSEL ALAIN</t>
  </si>
  <si>
    <t>MAGNAN JEAN LUC</t>
  </si>
  <si>
    <t>MAISON MICHEL</t>
  </si>
  <si>
    <t>MARCHAIS PHILIPPE</t>
  </si>
  <si>
    <t>MARLIN JEAN PIERRE</t>
  </si>
  <si>
    <t>MARTORY PASCAL</t>
  </si>
  <si>
    <t>MARTORY PIERRE</t>
  </si>
  <si>
    <t>MARY JEAN CLAUDE</t>
  </si>
  <si>
    <t>MAUNOURY LAURENT</t>
  </si>
  <si>
    <t>MAYNARD ALEXANDRE</t>
  </si>
  <si>
    <t>MAZE JEAN PIERRE</t>
  </si>
  <si>
    <t>MERCET HUGUES</t>
  </si>
  <si>
    <t>MIGA LAURENT</t>
  </si>
  <si>
    <t>MOREL PATRICE</t>
  </si>
  <si>
    <t>MOTTEAU LAURENT</t>
  </si>
  <si>
    <t>NEVEU LAURENT</t>
  </si>
  <si>
    <t>NOWAK MICHAEL</t>
  </si>
  <si>
    <t>PAILLIE CYRILLE</t>
  </si>
  <si>
    <t>PARMENTIER FRANC</t>
  </si>
  <si>
    <t>PHILIPPE JEAN</t>
  </si>
  <si>
    <t>PICQUENOT JEAN PAUL</t>
  </si>
  <si>
    <t>PIEDEFER DIDIER</t>
  </si>
  <si>
    <t>PIERREL BRUNO</t>
  </si>
  <si>
    <t>PITOIS FRANCIS</t>
  </si>
  <si>
    <t>PONTHIEUX CHRISTIAN</t>
  </si>
  <si>
    <t>POULET MARC</t>
  </si>
  <si>
    <t>PREVOST PATRICE</t>
  </si>
  <si>
    <t>PREVOST ROGER</t>
  </si>
  <si>
    <t>PRIN MICHAEL</t>
  </si>
  <si>
    <t>RAMDANI IBRAHIM</t>
  </si>
  <si>
    <t>RIBOULET LAURENT</t>
  </si>
  <si>
    <t>RIGOLET GEORGES</t>
  </si>
  <si>
    <t>RIPOLL JEAN YVES</t>
  </si>
  <si>
    <t>ROBERGE BRUNO</t>
  </si>
  <si>
    <t>ROBIN JACQUES</t>
  </si>
  <si>
    <t>ROLLAND ALAIN</t>
  </si>
  <si>
    <t>RONDU JACQUES</t>
  </si>
  <si>
    <t>ROQUIGNY REMY</t>
  </si>
  <si>
    <t>ROUSSEL JEAN YVES</t>
  </si>
  <si>
    <t>RUEDA RENE</t>
  </si>
  <si>
    <t>SAMSON RONALD</t>
  </si>
  <si>
    <t>SCHMITT CLAUDE</t>
  </si>
  <si>
    <t>SOLMON HERVE</t>
  </si>
  <si>
    <t>SORTAIS CLAUDE</t>
  </si>
  <si>
    <t>TALBOT MICHEL</t>
  </si>
  <si>
    <t>TELLIER BRUNO</t>
  </si>
  <si>
    <t>THIRY ROBERT</t>
  </si>
  <si>
    <t>THORY MICHEL</t>
  </si>
  <si>
    <t>TISSOT JEAN MICHEL</t>
  </si>
  <si>
    <t>TROUSSIER PIERRE</t>
  </si>
  <si>
    <t>VARACHE ALBAN</t>
  </si>
  <si>
    <t>VARACHE SERGE</t>
  </si>
  <si>
    <t>VERDREL DIDIER</t>
  </si>
  <si>
    <t>VEREL SEBASTIEN</t>
  </si>
  <si>
    <t>VIGNE PIERRE</t>
  </si>
  <si>
    <t>WILLEMYNS JACK</t>
  </si>
  <si>
    <t>ROUEN BILLARD CLUB</t>
  </si>
  <si>
    <t>BILLARD CLUB OSSELIEN</t>
  </si>
  <si>
    <t>BILLARD CLUB SOTTEVILLAIS</t>
  </si>
  <si>
    <t>BILLARD CLUB DE SAINT-MARCEL</t>
  </si>
  <si>
    <t>BILLARD CLUB DE LA SAUSSAYE</t>
  </si>
  <si>
    <t>BILLARD CLUB DE FECAMP</t>
  </si>
  <si>
    <t>AUBERT DANIEL</t>
  </si>
  <si>
    <t>BILLARD CLUB ANDELYSIEN</t>
  </si>
  <si>
    <t>AUBERT JEAN PAUL</t>
  </si>
  <si>
    <t>AUPIAIS JEAN MICHEL</t>
  </si>
  <si>
    <t>CABOURG BILLARD CLUB</t>
  </si>
  <si>
    <t>BILLARD CLUB DE SAINT NICOLAS</t>
  </si>
  <si>
    <t>BILLARD CLUB CORMELLOIS</t>
  </si>
  <si>
    <t>BILLARD AMICAL CLUB LOVERIEN</t>
  </si>
  <si>
    <t>BILLARD CLUB LEXOVIEN</t>
  </si>
  <si>
    <t>BAIS PHILIPPE</t>
  </si>
  <si>
    <t>BILLARD CLUB EBROICIEN</t>
  </si>
  <si>
    <t>BATAILLE VINCENT</t>
  </si>
  <si>
    <t>BATUT PIERRE</t>
  </si>
  <si>
    <t>BEAUGRAND CHRISTIAN</t>
  </si>
  <si>
    <t>BILLARD CLUB CANY BARVILLE</t>
  </si>
  <si>
    <t>BERTRAND MICHEL</t>
  </si>
  <si>
    <t>BILLARD CLUB DE BERNAY</t>
  </si>
  <si>
    <t>BETON VALERIE</t>
  </si>
  <si>
    <t>BIANCHINI JEAN ROBERT</t>
  </si>
  <si>
    <t>CLUB ECOLE HAVRAIS DE BILLARD</t>
  </si>
  <si>
    <t>BIENAIME ERIC</t>
  </si>
  <si>
    <t>BILLARD CLUB DE MAROMME</t>
  </si>
  <si>
    <t>BOITARD MARC</t>
  </si>
  <si>
    <t>BOREL PASCAL</t>
  </si>
  <si>
    <t>BOUGOUIN JEAN MICHEL</t>
  </si>
  <si>
    <t>BOURDON PASCAL</t>
  </si>
  <si>
    <t>BOURGET ALAIN</t>
  </si>
  <si>
    <t>BOUTTIER JACKY</t>
  </si>
  <si>
    <t>BOUVIER BERTRAND</t>
  </si>
  <si>
    <t>BOUVIER GUILLAUME</t>
  </si>
  <si>
    <t>BRAEMS FLORIAN</t>
  </si>
  <si>
    <t>BRETTEVILLE DENIS</t>
  </si>
  <si>
    <t>BILLARD CLUB GAILLONNAIS</t>
  </si>
  <si>
    <t>BRUNET ANDRE</t>
  </si>
  <si>
    <t>CLUB DE POOL VERNON</t>
  </si>
  <si>
    <t>BILLARD CLUB PACEEN</t>
  </si>
  <si>
    <t>CARRE PIERRE</t>
  </si>
  <si>
    <t>CHAGNOT JEAN CLAUDE</t>
  </si>
  <si>
    <t>CHAMP FRANCOIS</t>
  </si>
  <si>
    <t>CHAPLEAU FRANCOIS</t>
  </si>
  <si>
    <t>COLINET JEAN LUC</t>
  </si>
  <si>
    <t>CONORT PIERRE</t>
  </si>
  <si>
    <t>COUCKE CHRISTIAN</t>
  </si>
  <si>
    <t>ARGENCES BILLARD CLUB</t>
  </si>
  <si>
    <t>DAUTRY ANNICK</t>
  </si>
  <si>
    <t>DE TOFFOLI JEAN ANTOINE</t>
  </si>
  <si>
    <t>DEMERSEMAN MICHEL</t>
  </si>
  <si>
    <t>DENIS ERIC</t>
  </si>
  <si>
    <t>DERONGS DANIEL</t>
  </si>
  <si>
    <t>DESLANDES WILFRIED</t>
  </si>
  <si>
    <t>DESOUDIN CEDRIC</t>
  </si>
  <si>
    <t>DESPIT DANIEL</t>
  </si>
  <si>
    <t>DESSERRE ALEXANDRE</t>
  </si>
  <si>
    <t>DEZETANT MARCEL</t>
  </si>
  <si>
    <t>DU BOUCHAGE MICKAEL</t>
  </si>
  <si>
    <t>DUCROCQ DIDIER</t>
  </si>
  <si>
    <t>DUFILS LIONEL</t>
  </si>
  <si>
    <t>DUMARTIN BERTRAND</t>
  </si>
  <si>
    <t>DUONG KHENN</t>
  </si>
  <si>
    <t>DUPONCHEL ALAIN</t>
  </si>
  <si>
    <t>DUPRE PATRICK</t>
  </si>
  <si>
    <t>DUTHIL JEAN</t>
  </si>
  <si>
    <t>DUVAL RENE</t>
  </si>
  <si>
    <t>ERISAY FABRICE</t>
  </si>
  <si>
    <t>ESLIER GUY</t>
  </si>
  <si>
    <t>EUDELINE MICHEL</t>
  </si>
  <si>
    <t>EUDIER DIDIER</t>
  </si>
  <si>
    <t>PATRONAGE LAIQUE ARGENTAN</t>
  </si>
  <si>
    <t>EVRARD LYLIAN</t>
  </si>
  <si>
    <t>EYBERT BERARD ROGER</t>
  </si>
  <si>
    <t>FECAMP DANNY</t>
  </si>
  <si>
    <t>GALAN JEAN CLAUDE</t>
  </si>
  <si>
    <t>GENEST PATRICK</t>
  </si>
  <si>
    <t>GERMAIN CYRILLE</t>
  </si>
  <si>
    <t>GESTIN JACQUES</t>
  </si>
  <si>
    <t>GIBON HUBERT</t>
  </si>
  <si>
    <t>GNOCCHI GIANPAOLO</t>
  </si>
  <si>
    <t>GOREGUES LOIC</t>
  </si>
  <si>
    <t>GOULAMOUGAIDINE BASIAH</t>
  </si>
  <si>
    <t>GOURSAUD JEAN CLAUDE</t>
  </si>
  <si>
    <t>GRANDSIRE ALAIN</t>
  </si>
  <si>
    <t>GUERIN DAVID</t>
  </si>
  <si>
    <t>GUEROUT JEAN PIERRE</t>
  </si>
  <si>
    <t>GUERPIN BERNARD</t>
  </si>
  <si>
    <t>GUIGNON ERIC</t>
  </si>
  <si>
    <t>GUYADER ERWAN</t>
  </si>
  <si>
    <t>GUYADER SOPHIE</t>
  </si>
  <si>
    <t>HONDIER REMY</t>
  </si>
  <si>
    <t>HORCHOLLES DAVID</t>
  </si>
  <si>
    <t>HUBERT YVON</t>
  </si>
  <si>
    <t>HUGER MICHEL</t>
  </si>
  <si>
    <t>KENZEY PATRICK</t>
  </si>
  <si>
    <t>LALLEMAND DIDIER</t>
  </si>
  <si>
    <t>LANGLOIS CHRISTIAN</t>
  </si>
  <si>
    <t>LAPERT PATRICK</t>
  </si>
  <si>
    <t>LAURENT PHILIPPE</t>
  </si>
  <si>
    <t>LE MOULEC ALAIN</t>
  </si>
  <si>
    <t>LE RAILLER GERALD</t>
  </si>
  <si>
    <t>LEFEBVRE PIERRE</t>
  </si>
  <si>
    <t>LEGAGNEUR PATRICK</t>
  </si>
  <si>
    <t>LETOURNEUR ALAIN</t>
  </si>
  <si>
    <t>LETRESOR MAURICE</t>
  </si>
  <si>
    <t>LEVILLAIN EVELYNE</t>
  </si>
  <si>
    <t>LING BENJAMIN</t>
  </si>
  <si>
    <t>LINGRAND BERNARD</t>
  </si>
  <si>
    <t>MAHEUT ALEXANDRE</t>
  </si>
  <si>
    <t>MAHIEU NORBERT</t>
  </si>
  <si>
    <t>MARRE JEAN CLAUDE</t>
  </si>
  <si>
    <t>MARTINS JOSE BRAZ</t>
  </si>
  <si>
    <t>MARTORY SERGE</t>
  </si>
  <si>
    <t>MASSON JEAN PIERRE</t>
  </si>
  <si>
    <t>MATEOS RAYMOND</t>
  </si>
  <si>
    <t>MAUREY SERGE</t>
  </si>
  <si>
    <t>MAURICE JEAN PAUL</t>
  </si>
  <si>
    <t>MEGNAN JEAN PIERRE</t>
  </si>
  <si>
    <t>MEZINO VINCENT</t>
  </si>
  <si>
    <t>MILLET DANIEL</t>
  </si>
  <si>
    <t>MINAULT JACQUES</t>
  </si>
  <si>
    <t>MOLINA CHRISTIAN</t>
  </si>
  <si>
    <t>MONTOURCY MARC</t>
  </si>
  <si>
    <t>MOULIGNEAUX LAURENT</t>
  </si>
  <si>
    <t>MOULIN DANIEL</t>
  </si>
  <si>
    <t>NEVEU ISMERIE</t>
  </si>
  <si>
    <t>PAJON MARIE PIERRE</t>
  </si>
  <si>
    <t>PERCHEY LOUIS</t>
  </si>
  <si>
    <t>PERRIER JEAN</t>
  </si>
  <si>
    <t>PERROT JACKY</t>
  </si>
  <si>
    <t>PETIT JOHANN</t>
  </si>
  <si>
    <t>PICANDET FRANCOIS</t>
  </si>
  <si>
    <t>PIETRZYK JEAN PIERRE</t>
  </si>
  <si>
    <t>PLESSIS GERARD</t>
  </si>
  <si>
    <t>POMMERET JACQUES</t>
  </si>
  <si>
    <t>POULLAIN PIERRE</t>
  </si>
  <si>
    <t>PRIEUR SEBASTIEN</t>
  </si>
  <si>
    <t>PRUVOST MICHEL</t>
  </si>
  <si>
    <t>PUSKAS MATTHIEU</t>
  </si>
  <si>
    <t>QUEILLE RICHARD</t>
  </si>
  <si>
    <t>QUESNOT LIONNEL</t>
  </si>
  <si>
    <t>RACHET ALAIN</t>
  </si>
  <si>
    <t>RADIER BERNARD</t>
  </si>
  <si>
    <t>REAUDIN GERARD</t>
  </si>
  <si>
    <t>RIMBOT NICOLAS</t>
  </si>
  <si>
    <t>RIVIERE CLAUDE</t>
  </si>
  <si>
    <t>RIVOAL CYRILLE</t>
  </si>
  <si>
    <t>ROBIN SEBASTIEN</t>
  </si>
  <si>
    <t>SACLIER JEAN LOUIS</t>
  </si>
  <si>
    <t>SANDT CHRISTIAN</t>
  </si>
  <si>
    <t>SANNIER SERGE</t>
  </si>
  <si>
    <t>THUILLIER JEAN CLAUDE</t>
  </si>
  <si>
    <t>TOUTAIN REMI</t>
  </si>
  <si>
    <t>TREHET SERGE</t>
  </si>
  <si>
    <t>TY JOSHUA</t>
  </si>
  <si>
    <t>VALLE JOEL</t>
  </si>
  <si>
    <t>VARIGNON DOMINIQUE</t>
  </si>
  <si>
    <t>VOYER MICHEL</t>
  </si>
  <si>
    <t>WALKER ETIENNE</t>
  </si>
  <si>
    <t>WEIPPERT MARC</t>
  </si>
  <si>
    <t>ZIMMERLIN DANIEL</t>
  </si>
  <si>
    <t>Nombre de joueurs</t>
  </si>
  <si>
    <t>Classement des joueurs de 4 à 9</t>
  </si>
  <si>
    <t>Joueur</t>
  </si>
  <si>
    <t>Poule</t>
  </si>
  <si>
    <t>Ranking   -   T9   -   Phase de Poule</t>
  </si>
  <si>
    <t>Ranking   -   T9   -   Phase finale</t>
  </si>
  <si>
    <t>1/2 finales</t>
  </si>
  <si>
    <t>Places</t>
  </si>
  <si>
    <t>1 / 2</t>
  </si>
  <si>
    <t>7 / 8</t>
  </si>
  <si>
    <t>3 / 4</t>
  </si>
  <si>
    <t>5 / 6</t>
  </si>
  <si>
    <t>Date</t>
  </si>
  <si>
    <t>CLASSEMENT</t>
  </si>
  <si>
    <t>Places 1 à 6 - Cases vides</t>
  </si>
  <si>
    <t>Assurez-vous que ce nombre est</t>
  </si>
  <si>
    <t>Nom Club</t>
  </si>
  <si>
    <t>Tête de série A1</t>
  </si>
  <si>
    <t>Joueur A2</t>
  </si>
  <si>
    <t>Joueur A3</t>
  </si>
  <si>
    <t>Tête de série B1</t>
  </si>
  <si>
    <t>Joueur B2</t>
  </si>
  <si>
    <t>Joueur B3</t>
  </si>
  <si>
    <t>Tête de serie C1</t>
  </si>
  <si>
    <t>Joueur C2</t>
  </si>
  <si>
    <t>Joueur C3</t>
  </si>
  <si>
    <t>Les cellules grisées sont à renseigner à partir de listes préétablies ou bien manuellement.</t>
  </si>
  <si>
    <t>4 billes</t>
  </si>
  <si>
    <t>Cadets</t>
  </si>
  <si>
    <t>Juniors</t>
  </si>
  <si>
    <t>Féminines</t>
  </si>
  <si>
    <t>Poule A</t>
  </si>
  <si>
    <t>Poule B</t>
  </si>
  <si>
    <t>Poule C</t>
  </si>
  <si>
    <t>Nb_joueurs</t>
  </si>
  <si>
    <t>Vainqueur T1</t>
  </si>
  <si>
    <t>Total</t>
  </si>
  <si>
    <t>Nb_vide T1A</t>
  </si>
  <si>
    <t>Nb_vide T1B</t>
  </si>
  <si>
    <t>Nb_vide T1C</t>
  </si>
  <si>
    <r>
      <rPr>
        <b/>
        <u val="single"/>
        <sz val="14"/>
        <color indexed="10"/>
        <rFont val="Arial Narrow"/>
        <family val="2"/>
      </rPr>
      <t>ATTENTION</t>
    </r>
    <r>
      <rPr>
        <b/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Si après le premier tour, 2 joueurs sont à égalité </t>
    </r>
    <r>
      <rPr>
        <i/>
        <sz val="10"/>
        <rFont val="Arial Narrow"/>
        <family val="2"/>
      </rPr>
      <t>(points, reprises et série)</t>
    </r>
    <r>
      <rPr>
        <b/>
        <sz val="10"/>
        <rFont val="Arial Narrow"/>
        <family val="2"/>
      </rPr>
      <t xml:space="preserve"> c'est </t>
    </r>
    <r>
      <rPr>
        <b/>
        <u val="single"/>
        <sz val="10"/>
        <rFont val="Arial Narrow"/>
        <family val="2"/>
      </rPr>
      <t>le joueur n° 3</t>
    </r>
    <r>
      <rPr>
        <b/>
        <sz val="10"/>
        <rFont val="Arial Narrow"/>
        <family val="2"/>
      </rPr>
      <t xml:space="preserve"> qui dispute le 2</t>
    </r>
    <r>
      <rPr>
        <b/>
        <vertAlign val="superscript"/>
        <sz val="10"/>
        <rFont val="Arial Narrow"/>
        <family val="2"/>
      </rPr>
      <t>ème</t>
    </r>
    <r>
      <rPr>
        <b/>
        <sz val="10"/>
        <rFont val="Arial Narrow"/>
        <family val="2"/>
      </rPr>
      <t xml:space="preserve"> tour contre le joueur n° 1</t>
    </r>
  </si>
  <si>
    <t>Phase de Poule</t>
  </si>
  <si>
    <t>Feuille de Match</t>
  </si>
  <si>
    <t>Participants</t>
  </si>
  <si>
    <t>Phase Finale</t>
  </si>
  <si>
    <t>Points qualif</t>
  </si>
  <si>
    <t>Point finales</t>
  </si>
  <si>
    <t>Gagné</t>
  </si>
  <si>
    <t>Nul</t>
  </si>
  <si>
    <t>=  2 points</t>
  </si>
  <si>
    <t>Perdu</t>
  </si>
  <si>
    <t>=  1 point</t>
  </si>
  <si>
    <t>Il faut passer au T6</t>
  </si>
  <si>
    <t>ATTENTION</t>
  </si>
  <si>
    <t>Il y a 3 forfaits</t>
  </si>
  <si>
    <t>ABAD JEAN</t>
  </si>
  <si>
    <t>ANDRE BERNARD</t>
  </si>
  <si>
    <t>ASSUN BILLARD</t>
  </si>
  <si>
    <t>BARON ALAIN</t>
  </si>
  <si>
    <t>BASSIERE JEAN PIERRE</t>
  </si>
  <si>
    <t>BUDIN BERNARD</t>
  </si>
  <si>
    <t>CARPENTIER DIDIER</t>
  </si>
  <si>
    <t>CHEVALIER PHILIPPE</t>
  </si>
  <si>
    <t>CRESCI PIERRE</t>
  </si>
  <si>
    <t>DEMERE CHRISTIAN</t>
  </si>
  <si>
    <t>DUVAL JEAN PAUL</t>
  </si>
  <si>
    <t>GILLE PHILIPPE</t>
  </si>
  <si>
    <t>GOUGEAUD MICHEL</t>
  </si>
  <si>
    <t>HABRAN JEAN PIERRE</t>
  </si>
  <si>
    <t>HAUBERDON RENE</t>
  </si>
  <si>
    <t>HUBERT CLAUDE</t>
  </si>
  <si>
    <t>LANIEU JASON</t>
  </si>
  <si>
    <t>LETULLIER BRUNO</t>
  </si>
  <si>
    <t>PARIS OLIVIER</t>
  </si>
  <si>
    <t>PICARD CATHERINE</t>
  </si>
  <si>
    <t>PILLON GERARD</t>
  </si>
  <si>
    <t>REICHSTADT ERIC</t>
  </si>
  <si>
    <t>ROUSSET JEAN PAUL</t>
  </si>
  <si>
    <t>SAMMUT JEAN CLAUDE</t>
  </si>
  <si>
    <t>SENCERT DIDIER</t>
  </si>
  <si>
    <t>THUILLIER PIERRE</t>
  </si>
  <si>
    <t>THUNE DANIEL</t>
  </si>
  <si>
    <t>VARIN ODETTE</t>
  </si>
  <si>
    <t>76150   MAROMME</t>
  </si>
  <si>
    <t>Format billard</t>
  </si>
  <si>
    <r>
      <rPr>
        <b/>
        <i/>
        <u val="single"/>
        <sz val="11"/>
        <color indexed="10"/>
        <rFont val="Arial Narrow"/>
        <family val="2"/>
      </rPr>
      <t xml:space="preserve">ATTENTION </t>
    </r>
    <r>
      <rPr>
        <b/>
        <i/>
        <sz val="11"/>
        <color indexed="10"/>
        <rFont val="Arial Narrow"/>
        <family val="2"/>
      </rPr>
      <t>: Dans le cas d'un joueur blanc ou d'un forfait, ne pas oublier de renseigner la cellule forfait.</t>
    </r>
  </si>
  <si>
    <t>2m40</t>
  </si>
  <si>
    <t>2m60</t>
  </si>
  <si>
    <t>2m80</t>
  </si>
  <si>
    <t>3m10</t>
  </si>
  <si>
    <t>2m40 pc</t>
  </si>
  <si>
    <t>2m60 pc</t>
  </si>
  <si>
    <t>2m60 gc</t>
  </si>
  <si>
    <t>2m80 pc</t>
  </si>
  <si>
    <t>2m80 gc</t>
  </si>
  <si>
    <t>3m10 pc</t>
  </si>
  <si>
    <t>3m10 gc</t>
  </si>
  <si>
    <r>
      <t xml:space="preserve">Il est possible </t>
    </r>
    <r>
      <rPr>
        <i/>
        <sz val="9"/>
        <rFont val="Arial Narrow"/>
        <family val="2"/>
      </rPr>
      <t>(dans certains cas)</t>
    </r>
    <r>
      <rPr>
        <i/>
        <sz val="10"/>
        <rFont val="Arial Narrow"/>
        <family val="2"/>
      </rPr>
      <t xml:space="preserve"> de saisir une donnée différente de celles proposées par la liste.</t>
    </r>
  </si>
  <si>
    <t>Tableau d'aide à la saisie des résultats sur les sites FFB</t>
  </si>
  <si>
    <t>Compétition</t>
  </si>
  <si>
    <t>Joueur 1</t>
  </si>
  <si>
    <t>Nom</t>
  </si>
  <si>
    <t>N° match</t>
  </si>
  <si>
    <t>Joueur 2</t>
  </si>
  <si>
    <t xml:space="preserve">Lieu :   </t>
  </si>
  <si>
    <t xml:space="preserve">Date :   </t>
  </si>
  <si>
    <t xml:space="preserve">Mode de jeu :   </t>
  </si>
  <si>
    <t xml:space="preserve">Catégorie :   </t>
  </si>
  <si>
    <t xml:space="preserve">Tour :   </t>
  </si>
  <si>
    <t xml:space="preserve">Format billard :   </t>
  </si>
  <si>
    <t>=  0 point</t>
  </si>
  <si>
    <t>Total des pts classement :</t>
  </si>
  <si>
    <t>Points classement acquis :</t>
  </si>
  <si>
    <t>Clubs</t>
  </si>
  <si>
    <t>correct avant de poursuivre</t>
  </si>
  <si>
    <r>
      <rPr>
        <i/>
        <u val="single"/>
        <sz val="10"/>
        <rFont val="Arial Narrow"/>
        <family val="2"/>
      </rPr>
      <t xml:space="preserve">Points de classement </t>
    </r>
    <r>
      <rPr>
        <i/>
        <sz val="10"/>
        <rFont val="Arial Narrow"/>
        <family val="2"/>
      </rPr>
      <t>= points de ranking + points de match</t>
    </r>
  </si>
  <si>
    <r>
      <t xml:space="preserve">Points de </t>
    </r>
    <r>
      <rPr>
        <b/>
        <sz val="9"/>
        <color indexed="13"/>
        <rFont val="Arial Narrow"/>
        <family val="2"/>
      </rPr>
      <t>classement</t>
    </r>
    <r>
      <rPr>
        <b/>
        <sz val="8"/>
        <color indexed="9"/>
        <rFont val="Arial Narrow"/>
        <family val="2"/>
      </rPr>
      <t xml:space="preserve">
acquis avant ce tour</t>
    </r>
  </si>
  <si>
    <t>ALIA AHMED</t>
  </si>
  <si>
    <t>BELINY GILLES</t>
  </si>
  <si>
    <t>CALLENS TIMEO</t>
  </si>
  <si>
    <t>CHESNEL MATHIEU</t>
  </si>
  <si>
    <t>COCHET ARNAUD</t>
  </si>
  <si>
    <t>COTTEN JEAN PIERRE</t>
  </si>
  <si>
    <t>DALUZEAU DOMINIQUE</t>
  </si>
  <si>
    <t>DECOSSE PHILIPPE</t>
  </si>
  <si>
    <t>DELARUE JEAN FRANCOIS</t>
  </si>
  <si>
    <t>DEMOTTAIS JEAN JACQUES</t>
  </si>
  <si>
    <t>DESMARES DOMINIQUE</t>
  </si>
  <si>
    <t>DUBUC GUILLAUME</t>
  </si>
  <si>
    <t>DUBUC LOUIS</t>
  </si>
  <si>
    <t>DUCATHE PHILIPPE</t>
  </si>
  <si>
    <t>EICHHOLTZER CLAUDE</t>
  </si>
  <si>
    <t>FRANGNE PHILIPPE</t>
  </si>
  <si>
    <t>GAUTHERON ALAIN</t>
  </si>
  <si>
    <t>GLINEL MORTREUIL CLAUDE</t>
  </si>
  <si>
    <t>GOSNON OLIVIER</t>
  </si>
  <si>
    <t>GRENET LOUIS</t>
  </si>
  <si>
    <t>HONG PHI BANG</t>
  </si>
  <si>
    <t>JAFFRAY THIERRY</t>
  </si>
  <si>
    <t>JAUBERT JEAN NOEL</t>
  </si>
  <si>
    <t>LE CORVEC JOEL</t>
  </si>
  <si>
    <t>LE MESLE CHRISTOPHE</t>
  </si>
  <si>
    <t>LEBRESNE YANN</t>
  </si>
  <si>
    <t>LECLERC MARC</t>
  </si>
  <si>
    <t>LEFEBVRE BERNARD</t>
  </si>
  <si>
    <t>LELIEVRE ANTOINE</t>
  </si>
  <si>
    <t>LEPINAY JEAN PIERRE</t>
  </si>
  <si>
    <t>MARTIN REGIS</t>
  </si>
  <si>
    <t>MICHON PHILIPPE</t>
  </si>
  <si>
    <t>OUBRIL ALAIN</t>
  </si>
  <si>
    <t>PETITGRAND CLAUDE</t>
  </si>
  <si>
    <t>PICOT COURNEE SYLVAIN</t>
  </si>
  <si>
    <t>PROENCA ARMANDO</t>
  </si>
  <si>
    <t>ROMAIN ANTOINE</t>
  </si>
  <si>
    <t>ROMAIN HUGO</t>
  </si>
  <si>
    <t>ROSCHBACH THIERRY</t>
  </si>
  <si>
    <t>SAHMI LAHSSEINE</t>
  </si>
  <si>
    <t>SAUVAGE XAVIER</t>
  </si>
  <si>
    <t>THOMAS PIERRE</t>
  </si>
  <si>
    <t>VALLIER RENE</t>
  </si>
  <si>
    <t>VATRY GILLES</t>
  </si>
  <si>
    <t>ZWAENEPOEL PHILIPPE</t>
  </si>
  <si>
    <t>RIVIER ALEXANDRE</t>
  </si>
  <si>
    <t>BUTTIN MORGANE</t>
  </si>
  <si>
    <t>4, rue Jacquard</t>
  </si>
  <si>
    <t>Points de match :</t>
  </si>
  <si>
    <t>Points ranking :</t>
  </si>
  <si>
    <t>Rang :</t>
  </si>
  <si>
    <t>TOTAL DES POINTS :</t>
  </si>
  <si>
    <t>3 et 5, rue Ste Clotilde</t>
  </si>
  <si>
    <t>162296J</t>
  </si>
  <si>
    <t>ADNET FABRICE</t>
  </si>
  <si>
    <t>017652Y</t>
  </si>
  <si>
    <t>017869H</t>
  </si>
  <si>
    <t>166242Y</t>
  </si>
  <si>
    <t>113094U</t>
  </si>
  <si>
    <t>140477Z</t>
  </si>
  <si>
    <t>137351T</t>
  </si>
  <si>
    <t>100560S</t>
  </si>
  <si>
    <t>AUBE ALAIN</t>
  </si>
  <si>
    <t>168020F</t>
  </si>
  <si>
    <t>131880I</t>
  </si>
  <si>
    <t>129110U</t>
  </si>
  <si>
    <t>151993K</t>
  </si>
  <si>
    <t>017803T</t>
  </si>
  <si>
    <t>129095F</t>
  </si>
  <si>
    <t>153013T</t>
  </si>
  <si>
    <t>BALMES MARIE ROSE</t>
  </si>
  <si>
    <t>169238E</t>
  </si>
  <si>
    <t>017571V</t>
  </si>
  <si>
    <t>164826J</t>
  </si>
  <si>
    <t>154338J</t>
  </si>
  <si>
    <t>017754W</t>
  </si>
  <si>
    <t>104045T</t>
  </si>
  <si>
    <t>017689J</t>
  </si>
  <si>
    <t>BAUDOIN JACQUES</t>
  </si>
  <si>
    <t>017525B</t>
  </si>
  <si>
    <t>152619Q</t>
  </si>
  <si>
    <t>BAZAUD FRANCK</t>
  </si>
  <si>
    <t>122758M</t>
  </si>
  <si>
    <t>161679N</t>
  </si>
  <si>
    <t>BEGUIN CLAUDE</t>
  </si>
  <si>
    <t>150707M</t>
  </si>
  <si>
    <t>112270C</t>
  </si>
  <si>
    <t>017706A</t>
  </si>
  <si>
    <t>129135T</t>
  </si>
  <si>
    <t>142970W</t>
  </si>
  <si>
    <t>017629B</t>
  </si>
  <si>
    <t>147263T</t>
  </si>
  <si>
    <t>137339H</t>
  </si>
  <si>
    <t>BEZNOSUC MARIE JOSE</t>
  </si>
  <si>
    <t>169239F</t>
  </si>
  <si>
    <t>106781Z</t>
  </si>
  <si>
    <t>162881V</t>
  </si>
  <si>
    <t>017497Z</t>
  </si>
  <si>
    <t>017465T</t>
  </si>
  <si>
    <t>BLIN ARMEL</t>
  </si>
  <si>
    <t>169474L</t>
  </si>
  <si>
    <t>BOGO JACQUES</t>
  </si>
  <si>
    <t>138293Z</t>
  </si>
  <si>
    <t>136732Y</t>
  </si>
  <si>
    <t>BONGIOVANNI GIOVANNI</t>
  </si>
  <si>
    <t>154856X</t>
  </si>
  <si>
    <t>144156M</t>
  </si>
  <si>
    <t>145960W</t>
  </si>
  <si>
    <t>BOTREL DAVID</t>
  </si>
  <si>
    <t>156426D</t>
  </si>
  <si>
    <t>149537Q</t>
  </si>
  <si>
    <t>152578W</t>
  </si>
  <si>
    <t>162365J</t>
  </si>
  <si>
    <t>017466U</t>
  </si>
  <si>
    <t>BOURSE KEVIN</t>
  </si>
  <si>
    <t>169174K</t>
  </si>
  <si>
    <t>153690E</t>
  </si>
  <si>
    <t>149399Q</t>
  </si>
  <si>
    <t>149400R</t>
  </si>
  <si>
    <t>BOUXIN ERIC</t>
  </si>
  <si>
    <t>167390W</t>
  </si>
  <si>
    <t>146291P</t>
  </si>
  <si>
    <t>BRAEMS CHRISTOPHE</t>
  </si>
  <si>
    <t>160930Z</t>
  </si>
  <si>
    <t>160931A</t>
  </si>
  <si>
    <t>127508E</t>
  </si>
  <si>
    <t>BREUGNON BERNARD</t>
  </si>
  <si>
    <t>167321W</t>
  </si>
  <si>
    <t>107038W</t>
  </si>
  <si>
    <t>BROWANG JEROME</t>
  </si>
  <si>
    <t>107039X</t>
  </si>
  <si>
    <t>107040Y</t>
  </si>
  <si>
    <t>017658E</t>
  </si>
  <si>
    <t>017746O</t>
  </si>
  <si>
    <t>163871W</t>
  </si>
  <si>
    <t>017610I</t>
  </si>
  <si>
    <t>134665L</t>
  </si>
  <si>
    <t>158947T</t>
  </si>
  <si>
    <t>010634A</t>
  </si>
  <si>
    <t>166291B</t>
  </si>
  <si>
    <t>CAPELLE CLAUDE</t>
  </si>
  <si>
    <t>158920P</t>
  </si>
  <si>
    <t>CARDON JEAN CLAUDE</t>
  </si>
  <si>
    <t>017542S</t>
  </si>
  <si>
    <t>135579P</t>
  </si>
  <si>
    <t>152654D</t>
  </si>
  <si>
    <t>017467V</t>
  </si>
  <si>
    <t>CASEN VALENTIN</t>
  </si>
  <si>
    <t>169121C</t>
  </si>
  <si>
    <t>017643P</t>
  </si>
  <si>
    <t>CAZEAUBON PAUL</t>
  </si>
  <si>
    <t>169263G</t>
  </si>
  <si>
    <t>CAZEAUBON RAPHAEL</t>
  </si>
  <si>
    <t>169264H</t>
  </si>
  <si>
    <t>017621T</t>
  </si>
  <si>
    <t>018027J</t>
  </si>
  <si>
    <t>159430T</t>
  </si>
  <si>
    <t>137817R</t>
  </si>
  <si>
    <t>127340S</t>
  </si>
  <si>
    <t>CHARRON EDITH</t>
  </si>
  <si>
    <t>169334J</t>
  </si>
  <si>
    <t>133832K</t>
  </si>
  <si>
    <t>017896I</t>
  </si>
  <si>
    <t>CHESNEL PATRICK</t>
  </si>
  <si>
    <t>116629T</t>
  </si>
  <si>
    <t>126208E</t>
  </si>
  <si>
    <t>CHEVALLIER MICHEL</t>
  </si>
  <si>
    <t>169224P</t>
  </si>
  <si>
    <t>CHEVON NOA</t>
  </si>
  <si>
    <t>168778E</t>
  </si>
  <si>
    <t>107240Q</t>
  </si>
  <si>
    <t>CHOQUART PIERRE</t>
  </si>
  <si>
    <t>133876C</t>
  </si>
  <si>
    <t>151711D</t>
  </si>
  <si>
    <t>CLEMENT FABRICE</t>
  </si>
  <si>
    <t>152233W</t>
  </si>
  <si>
    <t>145961X</t>
  </si>
  <si>
    <t>017935V</t>
  </si>
  <si>
    <t>017709D</t>
  </si>
  <si>
    <t>COGNEE BRUNO</t>
  </si>
  <si>
    <t>166629T</t>
  </si>
  <si>
    <t>153098L</t>
  </si>
  <si>
    <t>017823N</t>
  </si>
  <si>
    <t>114995X</t>
  </si>
  <si>
    <t>CORNO YVES</t>
  </si>
  <si>
    <t>142307J</t>
  </si>
  <si>
    <t>017516S</t>
  </si>
  <si>
    <t>112010C</t>
  </si>
  <si>
    <t>136041J</t>
  </si>
  <si>
    <t>COUDREAU ANDRE</t>
  </si>
  <si>
    <t>131881J</t>
  </si>
  <si>
    <t>COURTOIS PIERRE</t>
  </si>
  <si>
    <t>168350P</t>
  </si>
  <si>
    <t>145454K</t>
  </si>
  <si>
    <t>120322U</t>
  </si>
  <si>
    <t>CUVILLIEZ FRANCOISE</t>
  </si>
  <si>
    <t>150560C</t>
  </si>
  <si>
    <t>106824Q</t>
  </si>
  <si>
    <t>166465Q</t>
  </si>
  <si>
    <t>DAUSSY JEAN CLAUDE</t>
  </si>
  <si>
    <t>148177M</t>
  </si>
  <si>
    <t>DAUSSY ROGER</t>
  </si>
  <si>
    <t>017693N</t>
  </si>
  <si>
    <t>106284W</t>
  </si>
  <si>
    <t>144074I</t>
  </si>
  <si>
    <t>017482K</t>
  </si>
  <si>
    <t>DAYRAS PHILIPPE</t>
  </si>
  <si>
    <t>163749N</t>
  </si>
  <si>
    <t>017476E</t>
  </si>
  <si>
    <t>126247R</t>
  </si>
  <si>
    <t>DELALANDRE FRANCOIS</t>
  </si>
  <si>
    <t>168981A</t>
  </si>
  <si>
    <t>DELALANDRE VERONIQUE</t>
  </si>
  <si>
    <t>168982B</t>
  </si>
  <si>
    <t>DELALONDRE MAX</t>
  </si>
  <si>
    <t>110690I</t>
  </si>
  <si>
    <t>129114Y</t>
  </si>
  <si>
    <t>165274W</t>
  </si>
  <si>
    <t>124007N</t>
  </si>
  <si>
    <t>108157X</t>
  </si>
  <si>
    <t>165991A</t>
  </si>
  <si>
    <t>162693Q</t>
  </si>
  <si>
    <t>DENZEN LELAIDIER DOLCHE</t>
  </si>
  <si>
    <t>168817X</t>
  </si>
  <si>
    <t>147139J</t>
  </si>
  <si>
    <t>DESHERAUD RAYMOND</t>
  </si>
  <si>
    <t>169252V</t>
  </si>
  <si>
    <t>147559Q</t>
  </si>
  <si>
    <t>165839K</t>
  </si>
  <si>
    <t>157256F</t>
  </si>
  <si>
    <t>127746I</t>
  </si>
  <si>
    <t>136733Z</t>
  </si>
  <si>
    <t>017627Z</t>
  </si>
  <si>
    <t>DI TOMMASO HERVE</t>
  </si>
  <si>
    <t>169323X</t>
  </si>
  <si>
    <t>DOMENGER JEAN FRANCOIS</t>
  </si>
  <si>
    <t>164326Q</t>
  </si>
  <si>
    <t>017790G</t>
  </si>
  <si>
    <t>126212I</t>
  </si>
  <si>
    <t>DUBOIS THIERRY</t>
  </si>
  <si>
    <t>169451L</t>
  </si>
  <si>
    <t>166097Q</t>
  </si>
  <si>
    <t>166098R</t>
  </si>
  <si>
    <t>164840Z</t>
  </si>
  <si>
    <t>145451H</t>
  </si>
  <si>
    <t>154535Y</t>
  </si>
  <si>
    <t>163172L</t>
  </si>
  <si>
    <t>136046O</t>
  </si>
  <si>
    <t>161710X</t>
  </si>
  <si>
    <t>112556C</t>
  </si>
  <si>
    <t>DUPONCHELLE YVON</t>
  </si>
  <si>
    <t>160784Q</t>
  </si>
  <si>
    <t>100586S</t>
  </si>
  <si>
    <t>138224I</t>
  </si>
  <si>
    <t>DURDEK ALAIN</t>
  </si>
  <si>
    <t>168816W</t>
  </si>
  <si>
    <t>DUSSART DOMINIQUE</t>
  </si>
  <si>
    <t>169475M</t>
  </si>
  <si>
    <t>DUTHEIL JACQUES</t>
  </si>
  <si>
    <t>138165B</t>
  </si>
  <si>
    <t>017820K</t>
  </si>
  <si>
    <t>DUTOT DAMIEN</t>
  </si>
  <si>
    <t>142404C</t>
  </si>
  <si>
    <t>157684W</t>
  </si>
  <si>
    <t>159869W</t>
  </si>
  <si>
    <t>129045H</t>
  </si>
  <si>
    <t>018131J</t>
  </si>
  <si>
    <t>125798K</t>
  </si>
  <si>
    <t>137333B</t>
  </si>
  <si>
    <t>112009B</t>
  </si>
  <si>
    <t>017770M</t>
  </si>
  <si>
    <t>017479H</t>
  </si>
  <si>
    <t>159595Y</t>
  </si>
  <si>
    <t>017713H</t>
  </si>
  <si>
    <t>153268W</t>
  </si>
  <si>
    <t>155061V</t>
  </si>
  <si>
    <t>FAIRIER ALAIN</t>
  </si>
  <si>
    <t>131891T</t>
  </si>
  <si>
    <t>FAISANT RAYMOND</t>
  </si>
  <si>
    <t>012137V</t>
  </si>
  <si>
    <t>163155S</t>
  </si>
  <si>
    <t>141784G</t>
  </si>
  <si>
    <t>FESTE MICHEL</t>
  </si>
  <si>
    <t>169338N</t>
  </si>
  <si>
    <t>100521F</t>
  </si>
  <si>
    <t>131886O</t>
  </si>
  <si>
    <t>FOSSEY MATHIEU</t>
  </si>
  <si>
    <t>168801E</t>
  </si>
  <si>
    <t>FOUCRET STEPHANE</t>
  </si>
  <si>
    <t>104154Y</t>
  </si>
  <si>
    <t>FOURNIAL CHRISTIAN</t>
  </si>
  <si>
    <t>150542H</t>
  </si>
  <si>
    <t>FRANCESCATI JEAN PHILIPPE</t>
  </si>
  <si>
    <t>169187Z</t>
  </si>
  <si>
    <t>FRANCHET CLAUDE</t>
  </si>
  <si>
    <t>169237D</t>
  </si>
  <si>
    <t>108288Y</t>
  </si>
  <si>
    <t>165902D</t>
  </si>
  <si>
    <t>FREGER XAVIER</t>
  </si>
  <si>
    <t>168691K</t>
  </si>
  <si>
    <t>142631V</t>
  </si>
  <si>
    <t>147667H</t>
  </si>
  <si>
    <t>165323Z</t>
  </si>
  <si>
    <t>133446O</t>
  </si>
  <si>
    <t>140672M</t>
  </si>
  <si>
    <t>147248C</t>
  </si>
  <si>
    <t>GERARD JEAN CLAUDE</t>
  </si>
  <si>
    <t>107052K</t>
  </si>
  <si>
    <t>017461P</t>
  </si>
  <si>
    <t>152579X</t>
  </si>
  <si>
    <t>154536Z</t>
  </si>
  <si>
    <t>017687H</t>
  </si>
  <si>
    <t>118079N</t>
  </si>
  <si>
    <t>GILLE CLEMENCE</t>
  </si>
  <si>
    <t>168692L</t>
  </si>
  <si>
    <t>GILLE NICOLAS</t>
  </si>
  <si>
    <t>163946C</t>
  </si>
  <si>
    <t>102207B</t>
  </si>
  <si>
    <t>165097D</t>
  </si>
  <si>
    <t>124614W</t>
  </si>
  <si>
    <t>126213J</t>
  </si>
  <si>
    <t>107057P</t>
  </si>
  <si>
    <t>143286A</t>
  </si>
  <si>
    <t>127187V</t>
  </si>
  <si>
    <t>137446K</t>
  </si>
  <si>
    <t>137819T</t>
  </si>
  <si>
    <t>129090A</t>
  </si>
  <si>
    <t>GOURLAN ARNAUD</t>
  </si>
  <si>
    <t>169454P</t>
  </si>
  <si>
    <t>143287B</t>
  </si>
  <si>
    <t>112008A</t>
  </si>
  <si>
    <t>158946S</t>
  </si>
  <si>
    <t>GRANZOTTO LOUIS</t>
  </si>
  <si>
    <t>144714Y</t>
  </si>
  <si>
    <t>143290E</t>
  </si>
  <si>
    <t>141991F</t>
  </si>
  <si>
    <t>156138Q</t>
  </si>
  <si>
    <t>GRETILLAT XAVIER</t>
  </si>
  <si>
    <t>138447X</t>
  </si>
  <si>
    <t>144620I</t>
  </si>
  <si>
    <t>018138Q</t>
  </si>
  <si>
    <t>017939Z</t>
  </si>
  <si>
    <t>157731X</t>
  </si>
  <si>
    <t>156477J</t>
  </si>
  <si>
    <t>133482Y</t>
  </si>
  <si>
    <t>017536M</t>
  </si>
  <si>
    <t>017537N</t>
  </si>
  <si>
    <t>GUILLEMENOT REGIS</t>
  </si>
  <si>
    <t>166720S</t>
  </si>
  <si>
    <t>GUILOTTE ALAIN</t>
  </si>
  <si>
    <t>017639L</t>
  </si>
  <si>
    <t>152484T</t>
  </si>
  <si>
    <t>017653Z</t>
  </si>
  <si>
    <t>141281X</t>
  </si>
  <si>
    <t>163902E</t>
  </si>
  <si>
    <t>116626Q</t>
  </si>
  <si>
    <t>HAFFRAY BERTRAND</t>
  </si>
  <si>
    <t>164786Q</t>
  </si>
  <si>
    <t>HALUSKA JEAN FELIX</t>
  </si>
  <si>
    <t>163851Z</t>
  </si>
  <si>
    <t>147303M</t>
  </si>
  <si>
    <t>HARY JEAN PIERRE</t>
  </si>
  <si>
    <t>169188A</t>
  </si>
  <si>
    <t>140340S</t>
  </si>
  <si>
    <t>HEMPEL JEAN</t>
  </si>
  <si>
    <t>017748Q</t>
  </si>
  <si>
    <t>017637J</t>
  </si>
  <si>
    <t>HOMMET CHARLES</t>
  </si>
  <si>
    <t>105787T</t>
  </si>
  <si>
    <t>156765X</t>
  </si>
  <si>
    <t>166245B</t>
  </si>
  <si>
    <t>018123B</t>
  </si>
  <si>
    <t>HUARD SEBASTIEN</t>
  </si>
  <si>
    <t>155987B</t>
  </si>
  <si>
    <t>153902K</t>
  </si>
  <si>
    <t>161713A</t>
  </si>
  <si>
    <t>140475X</t>
  </si>
  <si>
    <t>017614M</t>
  </si>
  <si>
    <t>018041X</t>
  </si>
  <si>
    <t>017912Y</t>
  </si>
  <si>
    <t>104165J</t>
  </si>
  <si>
    <t>JAMI M HAMED</t>
  </si>
  <si>
    <t>168259Q</t>
  </si>
  <si>
    <t>166127Y</t>
  </si>
  <si>
    <t>JOUSSE JACKY</t>
  </si>
  <si>
    <t>149573E</t>
  </si>
  <si>
    <t>017978M</t>
  </si>
  <si>
    <t>017485N</t>
  </si>
  <si>
    <t>KLANCAR NOAH</t>
  </si>
  <si>
    <t>168690J</t>
  </si>
  <si>
    <t>125063D</t>
  </si>
  <si>
    <t>017874M</t>
  </si>
  <si>
    <t>LAMBERT CHRISTOPHE</t>
  </si>
  <si>
    <t>148035H</t>
  </si>
  <si>
    <t>140033X</t>
  </si>
  <si>
    <t>LANGEVIN THIERY</t>
  </si>
  <si>
    <t>168815V</t>
  </si>
  <si>
    <t>018105J</t>
  </si>
  <si>
    <t>LANGLOIS JACQUELINE</t>
  </si>
  <si>
    <t>145696S</t>
  </si>
  <si>
    <t>LANGLOIS JACQUES</t>
  </si>
  <si>
    <t>143616S</t>
  </si>
  <si>
    <t>163789G</t>
  </si>
  <si>
    <t>116636A</t>
  </si>
  <si>
    <t>112307N</t>
  </si>
  <si>
    <t>LE CAER THIERRY</t>
  </si>
  <si>
    <t>129144C</t>
  </si>
  <si>
    <t>166168S</t>
  </si>
  <si>
    <t>165122F</t>
  </si>
  <si>
    <t>135751F</t>
  </si>
  <si>
    <t>135752G</t>
  </si>
  <si>
    <t>151478A</t>
  </si>
  <si>
    <t>017576A</t>
  </si>
  <si>
    <t>LEBOUC ALAIN</t>
  </si>
  <si>
    <t>168998T</t>
  </si>
  <si>
    <t>126223T</t>
  </si>
  <si>
    <t>017763F</t>
  </si>
  <si>
    <t>LEBRAS PHILIPPE</t>
  </si>
  <si>
    <t>168099R</t>
  </si>
  <si>
    <t>LEBRESNE ERWAN</t>
  </si>
  <si>
    <t>156621Q</t>
  </si>
  <si>
    <t>124921R</t>
  </si>
  <si>
    <t>013523D</t>
  </si>
  <si>
    <t>LECANU JEAN MARC</t>
  </si>
  <si>
    <t>169320T</t>
  </si>
  <si>
    <t>LECLERC DOMINIQUE</t>
  </si>
  <si>
    <t>168971P</t>
  </si>
  <si>
    <t>165970C</t>
  </si>
  <si>
    <t>LEDUC PATRICK</t>
  </si>
  <si>
    <t>142969V</t>
  </si>
  <si>
    <t>LEDUEY LUDOVIC</t>
  </si>
  <si>
    <t>110509J</t>
  </si>
  <si>
    <t>159458Z</t>
  </si>
  <si>
    <t>138763B</t>
  </si>
  <si>
    <t>LEFEVRE FREDERIC</t>
  </si>
  <si>
    <t>143707F</t>
  </si>
  <si>
    <t>017875N</t>
  </si>
  <si>
    <t>147057V</t>
  </si>
  <si>
    <t>163266N</t>
  </si>
  <si>
    <t>011123V</t>
  </si>
  <si>
    <t>153994K</t>
  </si>
  <si>
    <t>131482A</t>
  </si>
  <si>
    <t>148558B</t>
  </si>
  <si>
    <t>LEGRAND PATRICK</t>
  </si>
  <si>
    <t>166710G</t>
  </si>
  <si>
    <t>LEGRAND PHILIPPE</t>
  </si>
  <si>
    <t>166852L</t>
  </si>
  <si>
    <t>144318S</t>
  </si>
  <si>
    <t>LEGROS JACKIE</t>
  </si>
  <si>
    <t>141622A</t>
  </si>
  <si>
    <t>124649F</t>
  </si>
  <si>
    <t>LEHOUX GILLES</t>
  </si>
  <si>
    <t>167581D</t>
  </si>
  <si>
    <t>LEJEUNE BRUNO</t>
  </si>
  <si>
    <t>166608W</t>
  </si>
  <si>
    <t>153100N</t>
  </si>
  <si>
    <t>166141N</t>
  </si>
  <si>
    <t>017997F</t>
  </si>
  <si>
    <t>127747J</t>
  </si>
  <si>
    <t>LENOIR JEAN MARC</t>
  </si>
  <si>
    <t>169351C</t>
  </si>
  <si>
    <t>165956M</t>
  </si>
  <si>
    <t>017597V</t>
  </si>
  <si>
    <t>LEPLANOIS FRANCK</t>
  </si>
  <si>
    <t>169235B</t>
  </si>
  <si>
    <t>LEPLANOIS VIRGINIE</t>
  </si>
  <si>
    <t>169234A</t>
  </si>
  <si>
    <t>131887P</t>
  </si>
  <si>
    <t>138167D</t>
  </si>
  <si>
    <t>017786C</t>
  </si>
  <si>
    <t>133469L</t>
  </si>
  <si>
    <t>116603T</t>
  </si>
  <si>
    <t>135753H</t>
  </si>
  <si>
    <t>LEVIEUX AURELIEN</t>
  </si>
  <si>
    <t>163707S</t>
  </si>
  <si>
    <t>LEVILLAIN BEURIOT THOMAS</t>
  </si>
  <si>
    <t>166696R</t>
  </si>
  <si>
    <t>142974A</t>
  </si>
  <si>
    <t>LHEUREUX MAURICE</t>
  </si>
  <si>
    <t>169227S</t>
  </si>
  <si>
    <t>133458A</t>
  </si>
  <si>
    <t>106833Z</t>
  </si>
  <si>
    <t>147566Y</t>
  </si>
  <si>
    <t>162981D</t>
  </si>
  <si>
    <t>162572J</t>
  </si>
  <si>
    <t>142975B</t>
  </si>
  <si>
    <t>144781N</t>
  </si>
  <si>
    <t>LORIN FRANCOIS XAVIER</t>
  </si>
  <si>
    <t>169236C</t>
  </si>
  <si>
    <t>017731Z</t>
  </si>
  <si>
    <t>018043Z</t>
  </si>
  <si>
    <t>160531Q</t>
  </si>
  <si>
    <t>122711R</t>
  </si>
  <si>
    <t>150113R</t>
  </si>
  <si>
    <t>MANIER MARIE JOSE</t>
  </si>
  <si>
    <t>145698U</t>
  </si>
  <si>
    <t>106835B</t>
  </si>
  <si>
    <t>MARGERIE ERIC</t>
  </si>
  <si>
    <t>168814T</t>
  </si>
  <si>
    <t>018044A</t>
  </si>
  <si>
    <t>018002K</t>
  </si>
  <si>
    <t>166463N</t>
  </si>
  <si>
    <t>154240C</t>
  </si>
  <si>
    <t>017664K</t>
  </si>
  <si>
    <t>144782O</t>
  </si>
  <si>
    <t>017569T</t>
  </si>
  <si>
    <t>153309Q</t>
  </si>
  <si>
    <t>158108G</t>
  </si>
  <si>
    <t>126235F</t>
  </si>
  <si>
    <t>146122C</t>
  </si>
  <si>
    <t>MAUPIN CHRISTOPHE</t>
  </si>
  <si>
    <t>021024Q</t>
  </si>
  <si>
    <t>131534A</t>
  </si>
  <si>
    <t>145858Y</t>
  </si>
  <si>
    <t>112015H</t>
  </si>
  <si>
    <t>137816Q</t>
  </si>
  <si>
    <t>133889P</t>
  </si>
  <si>
    <t>MEMMI GIANLUCA</t>
  </si>
  <si>
    <t>168681Z</t>
  </si>
  <si>
    <t>017744M</t>
  </si>
  <si>
    <t>148219H</t>
  </si>
  <si>
    <t>165898Z</t>
  </si>
  <si>
    <t>149312W</t>
  </si>
  <si>
    <t>017867F</t>
  </si>
  <si>
    <t>144302C</t>
  </si>
  <si>
    <t>145457N</t>
  </si>
  <si>
    <t>MONTAGNE JEAN MARIE</t>
  </si>
  <si>
    <t>168813S</t>
  </si>
  <si>
    <t>120315N</t>
  </si>
  <si>
    <t>MOREE JAN</t>
  </si>
  <si>
    <t>166709F</t>
  </si>
  <si>
    <t>MOREL FRANCIS</t>
  </si>
  <si>
    <t>142932K</t>
  </si>
  <si>
    <t>138381J</t>
  </si>
  <si>
    <t>156736Q</t>
  </si>
  <si>
    <t>116635Z</t>
  </si>
  <si>
    <t>159291S</t>
  </si>
  <si>
    <t>162621M</t>
  </si>
  <si>
    <t>100555N</t>
  </si>
  <si>
    <t>NEVEU PATRICK</t>
  </si>
  <si>
    <t>168019E</t>
  </si>
  <si>
    <t>NICOLAS REMY</t>
  </si>
  <si>
    <t>160828N</t>
  </si>
  <si>
    <t>NOLLAND CHRISTIAN</t>
  </si>
  <si>
    <t>137340I</t>
  </si>
  <si>
    <t>017827R</t>
  </si>
  <si>
    <t>149689F</t>
  </si>
  <si>
    <t>OUMAZIZ MARC</t>
  </si>
  <si>
    <t>169327B</t>
  </si>
  <si>
    <t>134656C</t>
  </si>
  <si>
    <t>150068S</t>
  </si>
  <si>
    <t>PARENT ALAIN</t>
  </si>
  <si>
    <t>017655B</t>
  </si>
  <si>
    <t>163529Z</t>
  </si>
  <si>
    <t>017477F</t>
  </si>
  <si>
    <t>PARNY MATYS</t>
  </si>
  <si>
    <t>169344V</t>
  </si>
  <si>
    <t>PATOUREAUX THIERRY</t>
  </si>
  <si>
    <t>166736K</t>
  </si>
  <si>
    <t>PATRY BRUNO</t>
  </si>
  <si>
    <t>168812R</t>
  </si>
  <si>
    <t>017518U</t>
  </si>
  <si>
    <t>017694O</t>
  </si>
  <si>
    <t>152580Y</t>
  </si>
  <si>
    <t>PETIT JEAN</t>
  </si>
  <si>
    <t>122166S</t>
  </si>
  <si>
    <t>017604C</t>
  </si>
  <si>
    <t>PETIT SERGE</t>
  </si>
  <si>
    <t>168803G</t>
  </si>
  <si>
    <t>165969B</t>
  </si>
  <si>
    <t>149830J</t>
  </si>
  <si>
    <t>149401S</t>
  </si>
  <si>
    <t>PICARD ANDRE</t>
  </si>
  <si>
    <t>148806W</t>
  </si>
  <si>
    <t>PICARD ARTHUR</t>
  </si>
  <si>
    <t>160869H</t>
  </si>
  <si>
    <t>163870V</t>
  </si>
  <si>
    <t>PICARD SERGE</t>
  </si>
  <si>
    <t>167868Q</t>
  </si>
  <si>
    <t>018412E</t>
  </si>
  <si>
    <t>145453J</t>
  </si>
  <si>
    <t>139939H</t>
  </si>
  <si>
    <t>017817H</t>
  </si>
  <si>
    <t>155481B</t>
  </si>
  <si>
    <t>156848M</t>
  </si>
  <si>
    <t>PINEL RICHARD</t>
  </si>
  <si>
    <t>147140K</t>
  </si>
  <si>
    <t>138573T</t>
  </si>
  <si>
    <t>PITZ GEOFFROY</t>
  </si>
  <si>
    <t>128613R</t>
  </si>
  <si>
    <t>106837D</t>
  </si>
  <si>
    <t>PLOUARD ROLAND</t>
  </si>
  <si>
    <t>169328C</t>
  </si>
  <si>
    <t>POIGNYE PATRICK</t>
  </si>
  <si>
    <t>142977D</t>
  </si>
  <si>
    <t>141741P</t>
  </si>
  <si>
    <t>017730Y</t>
  </si>
  <si>
    <t>POUL RAYMOND</t>
  </si>
  <si>
    <t>127825J</t>
  </si>
  <si>
    <t>POULAIN YANNICK</t>
  </si>
  <si>
    <t>169330E</t>
  </si>
  <si>
    <t>122687T</t>
  </si>
  <si>
    <t>017756Y</t>
  </si>
  <si>
    <t>115463X</t>
  </si>
  <si>
    <t>PREVOST PIERRE</t>
  </si>
  <si>
    <t>117900Q</t>
  </si>
  <si>
    <t>131485D</t>
  </si>
  <si>
    <t>118093B</t>
  </si>
  <si>
    <t>149403V</t>
  </si>
  <si>
    <t>165901C</t>
  </si>
  <si>
    <t>137451P</t>
  </si>
  <si>
    <t>PUCHEU JIMMY</t>
  </si>
  <si>
    <t>122748C</t>
  </si>
  <si>
    <t>110520U</t>
  </si>
  <si>
    <t>162896L</t>
  </si>
  <si>
    <t>140480C</t>
  </si>
  <si>
    <t>017909V</t>
  </si>
  <si>
    <t>112043J</t>
  </si>
  <si>
    <t>154864F</t>
  </si>
  <si>
    <t>RAYON GERARD</t>
  </si>
  <si>
    <t>169089S</t>
  </si>
  <si>
    <t>017727V</t>
  </si>
  <si>
    <t>163598Z</t>
  </si>
  <si>
    <t>116625P</t>
  </si>
  <si>
    <t>RICOEUR LIONEL</t>
  </si>
  <si>
    <t>154017K</t>
  </si>
  <si>
    <t>141079D</t>
  </si>
  <si>
    <t>135749D</t>
  </si>
  <si>
    <t>118084S</t>
  </si>
  <si>
    <t>RIVET GILLES</t>
  </si>
  <si>
    <t>133432A</t>
  </si>
  <si>
    <t>133417L</t>
  </si>
  <si>
    <t>159757Z</t>
  </si>
  <si>
    <t>140476Y</t>
  </si>
  <si>
    <t>017572W</t>
  </si>
  <si>
    <t>ROBERT PIERRE</t>
  </si>
  <si>
    <t>134861Z</t>
  </si>
  <si>
    <t>124617Z</t>
  </si>
  <si>
    <t>131519L</t>
  </si>
  <si>
    <t>144165V</t>
  </si>
  <si>
    <t>166144R</t>
  </si>
  <si>
    <t>165995E</t>
  </si>
  <si>
    <t>155024E</t>
  </si>
  <si>
    <t>127143D</t>
  </si>
  <si>
    <t>144717B</t>
  </si>
  <si>
    <t>ROUSSEAU GERARD</t>
  </si>
  <si>
    <t>154662L</t>
  </si>
  <si>
    <t>106828U</t>
  </si>
  <si>
    <t>153670H</t>
  </si>
  <si>
    <t>ROUTIER FRANCOIS</t>
  </si>
  <si>
    <t>148038L</t>
  </si>
  <si>
    <t>ROZE JACQUES</t>
  </si>
  <si>
    <t>017974I</t>
  </si>
  <si>
    <t>017721P</t>
  </si>
  <si>
    <t>138227L</t>
  </si>
  <si>
    <t>115255X</t>
  </si>
  <si>
    <t>SAINT REQUIER CHRISTIAN</t>
  </si>
  <si>
    <t>167738Z</t>
  </si>
  <si>
    <t>147880P</t>
  </si>
  <si>
    <t>017495X</t>
  </si>
  <si>
    <t>149174W</t>
  </si>
  <si>
    <t>017829T</t>
  </si>
  <si>
    <t>SANSON CLEMENT</t>
  </si>
  <si>
    <t>017994C</t>
  </si>
  <si>
    <t>SAUNIER JEAN LOUIS</t>
  </si>
  <si>
    <t>138383L</t>
  </si>
  <si>
    <t>166458H</t>
  </si>
  <si>
    <t>017478G</t>
  </si>
  <si>
    <t>SCHWARTZ ALAIN</t>
  </si>
  <si>
    <t>149904P</t>
  </si>
  <si>
    <t>109089T</t>
  </si>
  <si>
    <t>SEVENO SEBASTIEN</t>
  </si>
  <si>
    <t>169415X</t>
  </si>
  <si>
    <t>017626Y</t>
  </si>
  <si>
    <t>017602A</t>
  </si>
  <si>
    <t>SOULLIER GINO</t>
  </si>
  <si>
    <t>164003P</t>
  </si>
  <si>
    <t>STAIGRE JEROME</t>
  </si>
  <si>
    <t>018141T</t>
  </si>
  <si>
    <t>017544U</t>
  </si>
  <si>
    <t>143284Y</t>
  </si>
  <si>
    <t>THEODORE BERNARD</t>
  </si>
  <si>
    <t>116612C</t>
  </si>
  <si>
    <t>017818I</t>
  </si>
  <si>
    <t>THOMAS JEANNE</t>
  </si>
  <si>
    <t>163589P</t>
  </si>
  <si>
    <t>166071M</t>
  </si>
  <si>
    <t>126230A</t>
  </si>
  <si>
    <t>017671R</t>
  </si>
  <si>
    <t>136729V</t>
  </si>
  <si>
    <t>149871D</t>
  </si>
  <si>
    <t>149889Y</t>
  </si>
  <si>
    <t>159676L</t>
  </si>
  <si>
    <t>018140S</t>
  </si>
  <si>
    <t>017498A</t>
  </si>
  <si>
    <t>161122H</t>
  </si>
  <si>
    <t>ULRICH ALAIN</t>
  </si>
  <si>
    <t>101687B</t>
  </si>
  <si>
    <t>107251B</t>
  </si>
  <si>
    <t>166048M</t>
  </si>
  <si>
    <t>100599F</t>
  </si>
  <si>
    <t>017650W</t>
  </si>
  <si>
    <t>131487F</t>
  </si>
  <si>
    <t>137522I</t>
  </si>
  <si>
    <t>149375P</t>
  </si>
  <si>
    <t>VAUR PHILIPPE</t>
  </si>
  <si>
    <t>104066O</t>
  </si>
  <si>
    <t>VELLA PIERRE</t>
  </si>
  <si>
    <t>152825P</t>
  </si>
  <si>
    <t>139912G</t>
  </si>
  <si>
    <t>141213H</t>
  </si>
  <si>
    <t>VICTORIA VINCENT</t>
  </si>
  <si>
    <t>100615V</t>
  </si>
  <si>
    <t>018005N</t>
  </si>
  <si>
    <t>VILA MARC</t>
  </si>
  <si>
    <t>169186Y</t>
  </si>
  <si>
    <t>VOLLE THIBAULT</t>
  </si>
  <si>
    <t>169385P</t>
  </si>
  <si>
    <t>017856U</t>
  </si>
  <si>
    <t>VUILLEQUEY GEORGES</t>
  </si>
  <si>
    <t>166757H</t>
  </si>
  <si>
    <t>151997P</t>
  </si>
  <si>
    <t>148239E</t>
  </si>
  <si>
    <t>126237H</t>
  </si>
  <si>
    <t>YASIR ALI</t>
  </si>
  <si>
    <t>167389V</t>
  </si>
  <si>
    <t>017923J</t>
  </si>
  <si>
    <t>124290K</t>
  </si>
  <si>
    <t>ZYWICA FREDERIC</t>
  </si>
  <si>
    <t>156622R</t>
  </si>
  <si>
    <t>DAIGLE MICHEL</t>
  </si>
  <si>
    <t>145242G</t>
  </si>
  <si>
    <t>ERONTE MICHEL</t>
  </si>
  <si>
    <t>017986U</t>
  </si>
  <si>
    <t>GRICOURT MARCEL</t>
  </si>
  <si>
    <t>144380C</t>
  </si>
  <si>
    <t>GROGNET PAUL</t>
  </si>
  <si>
    <t>169499N</t>
  </si>
  <si>
    <t>MAUDUIT LUCIEN</t>
  </si>
  <si>
    <t>103869Z</t>
  </si>
  <si>
    <t>ALLIX GERARD</t>
  </si>
  <si>
    <t>165041S</t>
  </si>
  <si>
    <t>ANTEM ANTOINE</t>
  </si>
  <si>
    <t>017606E</t>
  </si>
  <si>
    <t>AYMONOD MICHEL</t>
  </si>
  <si>
    <t>127128O</t>
  </si>
  <si>
    <t>BAUX REGIS</t>
  </si>
  <si>
    <t>148240F</t>
  </si>
  <si>
    <t>BEDEL JEAN PIERRE</t>
  </si>
  <si>
    <t>169677G</t>
  </si>
  <si>
    <t>BENDJEMILA TOFIR</t>
  </si>
  <si>
    <t>017734C</t>
  </si>
  <si>
    <t>BIDAULT ALAIN</t>
  </si>
  <si>
    <t>160279R</t>
  </si>
  <si>
    <t>BLONDEL JEAN THIERRY</t>
  </si>
  <si>
    <t>144155L</t>
  </si>
  <si>
    <t>BOCQUAIN JEAN PIERRE</t>
  </si>
  <si>
    <t>112554A</t>
  </si>
  <si>
    <t>BOUIN PATRICE</t>
  </si>
  <si>
    <t>165686T</t>
  </si>
  <si>
    <t>BOUTILLOT CHRISTIAN</t>
  </si>
  <si>
    <t>163734X</t>
  </si>
  <si>
    <t>BOUTIN GUY</t>
  </si>
  <si>
    <t>124623F</t>
  </si>
  <si>
    <t>BUQUET PHILIPPE</t>
  </si>
  <si>
    <t>017513P</t>
  </si>
  <si>
    <t>BURGOT FRANCINE</t>
  </si>
  <si>
    <t>169893R</t>
  </si>
  <si>
    <t>BURGOT FRANCOIS</t>
  </si>
  <si>
    <t>169892Q</t>
  </si>
  <si>
    <t>BUSSIERE GILBERT</t>
  </si>
  <si>
    <t>152826Q</t>
  </si>
  <si>
    <t>BUTAUD CHRISTIAN</t>
  </si>
  <si>
    <t>017757Z</t>
  </si>
  <si>
    <t>CARLIER ALAIN</t>
  </si>
  <si>
    <t>153754Z</t>
  </si>
  <si>
    <t>CARRE JEAN</t>
  </si>
  <si>
    <t>167866N</t>
  </si>
  <si>
    <t>CAZEAUBON SERGE</t>
  </si>
  <si>
    <t>167848T</t>
  </si>
  <si>
    <t>CHANSON PIERRE</t>
  </si>
  <si>
    <t>111053H</t>
  </si>
  <si>
    <t>COAT MICHEL</t>
  </si>
  <si>
    <t>169554Y</t>
  </si>
  <si>
    <t>COLIN GUY</t>
  </si>
  <si>
    <t>111081J</t>
  </si>
  <si>
    <t>DAON OLIVIER</t>
  </si>
  <si>
    <t>169727L</t>
  </si>
  <si>
    <t>DAVID ANTHONY</t>
  </si>
  <si>
    <t>169680K</t>
  </si>
  <si>
    <t>DELAPORTE FELIX</t>
  </si>
  <si>
    <t>136045N</t>
  </si>
  <si>
    <t>DELARUE GILLES</t>
  </si>
  <si>
    <t>169557B</t>
  </si>
  <si>
    <t>DEMON HENRI</t>
  </si>
  <si>
    <t>017468W</t>
  </si>
  <si>
    <t>DORLET MICHEL</t>
  </si>
  <si>
    <t>153298D</t>
  </si>
  <si>
    <t>DROUHAULT JEAN MICHEL</t>
  </si>
  <si>
    <t>159932P</t>
  </si>
  <si>
    <t>DUBOIS JEAN</t>
  </si>
  <si>
    <t>103865V</t>
  </si>
  <si>
    <t>ELIE JOANNES</t>
  </si>
  <si>
    <t>142933L</t>
  </si>
  <si>
    <t>EMENEGGER NORBERT</t>
  </si>
  <si>
    <t>147129Y</t>
  </si>
  <si>
    <t>FERRON JEAN MARC</t>
  </si>
  <si>
    <t>164847G</t>
  </si>
  <si>
    <t>FOURNEAUX DOMINIQUE</t>
  </si>
  <si>
    <t>167007E</t>
  </si>
  <si>
    <t>166778F</t>
  </si>
  <si>
    <t>GAUTIER ALAIN</t>
  </si>
  <si>
    <t>169561F</t>
  </si>
  <si>
    <t>GEORGE GUY</t>
  </si>
  <si>
    <t>141280W</t>
  </si>
  <si>
    <t>GRANDIERE MICHEL</t>
  </si>
  <si>
    <t>127338Q</t>
  </si>
  <si>
    <t>GUILLAUME MICHEL</t>
  </si>
  <si>
    <t>169779S</t>
  </si>
  <si>
    <t>GUINCETRE FRANCOIS</t>
  </si>
  <si>
    <t>143613P</t>
  </si>
  <si>
    <t>HAZART HAMEL GERARD</t>
  </si>
  <si>
    <t>134863B</t>
  </si>
  <si>
    <t>HOUAYS HASSAN</t>
  </si>
  <si>
    <t>152954E</t>
  </si>
  <si>
    <t>HUERTOS FRANCISCO</t>
  </si>
  <si>
    <t>169908H</t>
  </si>
  <si>
    <t>HUET JEAN LOUIS</t>
  </si>
  <si>
    <t>145695R</t>
  </si>
  <si>
    <t>HUREAUX FRANCOIS</t>
  </si>
  <si>
    <t>169820M</t>
  </si>
  <si>
    <t>JOUGUET RICHARD</t>
  </si>
  <si>
    <t>164691M</t>
  </si>
  <si>
    <t>JOVEME RAYNALD</t>
  </si>
  <si>
    <t>169941T</t>
  </si>
  <si>
    <t>LAMBERT MARC</t>
  </si>
  <si>
    <t>169569P</t>
  </si>
  <si>
    <t>LANDAIS NOE</t>
  </si>
  <si>
    <t>169629E</t>
  </si>
  <si>
    <t>LAURENT VALERY</t>
  </si>
  <si>
    <t>017732A</t>
  </si>
  <si>
    <t>LECAVELIER DESETANGS ENZO</t>
  </si>
  <si>
    <t>158945R</t>
  </si>
  <si>
    <t>LECAVELIER DESETANGS ERIC</t>
  </si>
  <si>
    <t>159884M</t>
  </si>
  <si>
    <t>LEROI JEAN CLAUDE</t>
  </si>
  <si>
    <t>147405Y</t>
  </si>
  <si>
    <t>LOZANO ROBERT</t>
  </si>
  <si>
    <t>140673N</t>
  </si>
  <si>
    <t>MARBOEUF NOHANNE</t>
  </si>
  <si>
    <t>169785Z</t>
  </si>
  <si>
    <t>MARECHAL LAURENT</t>
  </si>
  <si>
    <t>169559D</t>
  </si>
  <si>
    <t>MARTINEAU PATRICE</t>
  </si>
  <si>
    <t>169560E</t>
  </si>
  <si>
    <t>MENEREUILT FLORENCE</t>
  </si>
  <si>
    <t>169901A</t>
  </si>
  <si>
    <t>MICHAULT MARC</t>
  </si>
  <si>
    <t>163171K</t>
  </si>
  <si>
    <t>MICHEL XAVIER</t>
  </si>
  <si>
    <t>169950D</t>
  </si>
  <si>
    <t>MIRKOVIC MICHEL</t>
  </si>
  <si>
    <t>147085A</t>
  </si>
  <si>
    <t>MONTEIRO FRANCISCO</t>
  </si>
  <si>
    <t>168203E</t>
  </si>
  <si>
    <t>MOREL THIERRY</t>
  </si>
  <si>
    <t>169806X</t>
  </si>
  <si>
    <t>MOUSSART MICHEL</t>
  </si>
  <si>
    <t>166997T</t>
  </si>
  <si>
    <t>PATRICE BERNARD</t>
  </si>
  <si>
    <t>169924A</t>
  </si>
  <si>
    <t>PAULIN GERARD</t>
  </si>
  <si>
    <t>158426C</t>
  </si>
  <si>
    <t>PICARD VIOLAINE</t>
  </si>
  <si>
    <t>160329W</t>
  </si>
  <si>
    <t>PREVOST JEAN MARC</t>
  </si>
  <si>
    <t>152810Y</t>
  </si>
  <si>
    <t>PRONESTI AXEL</t>
  </si>
  <si>
    <t>169954H</t>
  </si>
  <si>
    <t>QUENEL PIERRE</t>
  </si>
  <si>
    <t>161124K</t>
  </si>
  <si>
    <t>ROCQUEMONT CLAUDE</t>
  </si>
  <si>
    <t>127142C</t>
  </si>
  <si>
    <t>ROHART THIERRY</t>
  </si>
  <si>
    <t>148983N</t>
  </si>
  <si>
    <t>SAUVAGE JEAN PAUL</t>
  </si>
  <si>
    <t>158548K</t>
  </si>
  <si>
    <t>SIMON THOMAS</t>
  </si>
  <si>
    <t>157254D</t>
  </si>
  <si>
    <t>SMITH HELENE</t>
  </si>
  <si>
    <t>152576T</t>
  </si>
  <si>
    <t>SMITH LOUIS</t>
  </si>
  <si>
    <t>152577V</t>
  </si>
  <si>
    <t>TOCQUEVILLE DANIELE</t>
  </si>
  <si>
    <t>169900Z</t>
  </si>
  <si>
    <t>TOSTAIN ALEX</t>
  </si>
  <si>
    <t>169973D</t>
  </si>
  <si>
    <t>TURPIN DOMINIQUE</t>
  </si>
  <si>
    <t>169854Z</t>
  </si>
  <si>
    <t>VIMBERT JEAN</t>
  </si>
  <si>
    <t>017991Z</t>
  </si>
  <si>
    <t>WOLZ FREDERICK</t>
  </si>
  <si>
    <t>169558C</t>
  </si>
  <si>
    <t>ZIVKOVIC DRAGAN</t>
  </si>
  <si>
    <t>169728M</t>
  </si>
  <si>
    <t>ATTENTION   -   Saison 2019 / 2020</t>
  </si>
  <si>
    <t>points inchangés pour les autres places</t>
  </si>
  <si>
    <r>
      <rPr>
        <i/>
        <u val="single"/>
        <sz val="10"/>
        <rFont val="Arial Narrow"/>
        <family val="2"/>
      </rPr>
      <t xml:space="preserve">Points de ranking </t>
    </r>
    <r>
      <rPr>
        <i/>
        <sz val="10"/>
        <rFont val="Arial Narrow"/>
        <family val="2"/>
      </rPr>
      <t xml:space="preserve">: </t>
    </r>
    <r>
      <rPr>
        <b/>
        <i/>
        <sz val="10"/>
        <rFont val="Arial Narrow"/>
        <family val="2"/>
      </rPr>
      <t>1</t>
    </r>
    <r>
      <rPr>
        <b/>
        <i/>
        <vertAlign val="superscript"/>
        <sz val="10"/>
        <rFont val="Arial Narrow"/>
        <family val="2"/>
      </rPr>
      <t>er</t>
    </r>
    <r>
      <rPr>
        <b/>
        <i/>
        <sz val="10"/>
        <rFont val="Arial Narrow"/>
        <family val="2"/>
      </rPr>
      <t xml:space="preserve"> = 22</t>
    </r>
    <r>
      <rPr>
        <i/>
        <sz val="10"/>
        <rFont val="Arial Narrow"/>
        <family val="2"/>
      </rPr>
      <t xml:space="preserve">   &amp;   </t>
    </r>
    <r>
      <rPr>
        <b/>
        <i/>
        <sz val="10"/>
        <rFont val="Arial Narrow"/>
        <family val="2"/>
      </rPr>
      <t>2</t>
    </r>
    <r>
      <rPr>
        <b/>
        <i/>
        <vertAlign val="superscript"/>
        <sz val="10"/>
        <rFont val="Arial Narrow"/>
        <family val="2"/>
      </rPr>
      <t>ème</t>
    </r>
    <r>
      <rPr>
        <b/>
        <i/>
        <sz val="10"/>
        <rFont val="Arial Narrow"/>
        <family val="2"/>
      </rPr>
      <t xml:space="preserve"> = 19</t>
    </r>
  </si>
  <si>
    <r>
      <t>Version :</t>
    </r>
    <r>
      <rPr>
        <b/>
        <sz val="12"/>
        <color indexed="10"/>
        <rFont val="Arial Narrow"/>
        <family val="2"/>
      </rPr>
      <t xml:space="preserve"> 8.4</t>
    </r>
    <r>
      <rPr>
        <b/>
        <sz val="12"/>
        <rFont val="Arial Narrow"/>
        <family val="2"/>
      </rPr>
      <t xml:space="preserve">
du :</t>
    </r>
    <r>
      <rPr>
        <b/>
        <sz val="12"/>
        <color indexed="10"/>
        <rFont val="Arial Narrow"/>
        <family val="2"/>
      </rPr>
      <t xml:space="preserve"> 10/10/2019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</si>
</sst>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0.000"/>
    <numFmt numFmtId="174" formatCode="[$-40C]dddd\ d\ mmmm\ yyyy"/>
    <numFmt numFmtId="175" formatCode="[$-40C]d\ mmmm\ yyyy;@"/>
    <numFmt numFmtId="176" formatCode="[$-F800]dddd\,\ mmmm\ dd\,\ yyyy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147">
    <font>
      <sz val="10"/>
      <name val="Times New Roman"/>
      <family val="0"/>
    </font>
    <font>
      <sz val="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sz val="12"/>
      <color indexed="12"/>
      <name val="Arial Narrow"/>
      <family val="2"/>
    </font>
    <font>
      <b/>
      <u val="single"/>
      <sz val="10"/>
      <color indexed="16"/>
      <name val="Arial Narrow"/>
      <family val="2"/>
    </font>
    <font>
      <b/>
      <u val="single"/>
      <sz val="10"/>
      <color indexed="10"/>
      <name val="Arial Narrow"/>
      <family val="2"/>
    </font>
    <font>
      <sz val="8"/>
      <color indexed="9"/>
      <name val="Arial Narrow"/>
      <family val="2"/>
    </font>
    <font>
      <b/>
      <sz val="10"/>
      <color indexed="44"/>
      <name val="Arial Narrow"/>
      <family val="2"/>
    </font>
    <font>
      <b/>
      <sz val="10"/>
      <color indexed="22"/>
      <name val="Arial Narrow"/>
      <family val="2"/>
    </font>
    <font>
      <b/>
      <sz val="10"/>
      <color indexed="4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b/>
      <sz val="11"/>
      <color indexed="12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8"/>
      <name val="Arial Narrow"/>
      <family val="2"/>
    </font>
    <font>
      <vertAlign val="superscript"/>
      <sz val="9"/>
      <name val="Arial Narrow"/>
      <family val="2"/>
    </font>
    <font>
      <b/>
      <u val="single"/>
      <sz val="10"/>
      <name val="Arial Narrow"/>
      <family val="2"/>
    </font>
    <font>
      <b/>
      <sz val="24"/>
      <name val="Arial Narrow"/>
      <family val="2"/>
    </font>
    <font>
      <b/>
      <sz val="12"/>
      <color indexed="9"/>
      <name val="Arial Narrow"/>
      <family val="2"/>
    </font>
    <font>
      <sz val="8.5"/>
      <name val="Arial Narrow"/>
      <family val="2"/>
    </font>
    <font>
      <b/>
      <i/>
      <u val="single"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sz val="14"/>
      <color indexed="9"/>
      <name val="Arial Narrow"/>
      <family val="2"/>
    </font>
    <font>
      <sz val="14"/>
      <color indexed="12"/>
      <name val="Arial Narrow"/>
      <family val="2"/>
    </font>
    <font>
      <b/>
      <u val="single"/>
      <sz val="9"/>
      <name val="Arial Narrow"/>
      <family val="2"/>
    </font>
    <font>
      <u val="single"/>
      <sz val="9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20"/>
      <color indexed="9"/>
      <name val="Arial Narrow"/>
      <family val="2"/>
    </font>
    <font>
      <u val="single"/>
      <sz val="8"/>
      <name val="Arial Narrow"/>
      <family val="2"/>
    </font>
    <font>
      <b/>
      <sz val="2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i/>
      <sz val="11"/>
      <color indexed="10"/>
      <name val="Arial Narrow"/>
      <family val="2"/>
    </font>
    <font>
      <b/>
      <i/>
      <u val="single"/>
      <sz val="11"/>
      <color indexed="10"/>
      <name val="Arial Narrow"/>
      <family val="2"/>
    </font>
    <font>
      <b/>
      <sz val="12"/>
      <color indexed="10"/>
      <name val="Arial Narrow"/>
      <family val="2"/>
    </font>
    <font>
      <b/>
      <u val="single"/>
      <sz val="18"/>
      <color indexed="13"/>
      <name val="Arial Narrow"/>
      <family val="2"/>
    </font>
    <font>
      <sz val="12"/>
      <name val="Arial Narrow"/>
      <family val="2"/>
    </font>
    <font>
      <u val="single"/>
      <sz val="10"/>
      <name val="Arial Narrow"/>
      <family val="2"/>
    </font>
    <font>
      <b/>
      <sz val="9"/>
      <color indexed="10"/>
      <name val="Arial Narrow"/>
      <family val="2"/>
    </font>
    <font>
      <b/>
      <sz val="20"/>
      <name val="Arial Narrow"/>
      <family val="2"/>
    </font>
    <font>
      <b/>
      <sz val="14"/>
      <name val="Arial Narrow"/>
      <family val="2"/>
    </font>
    <font>
      <b/>
      <sz val="36"/>
      <name val="Stencil"/>
      <family val="5"/>
    </font>
    <font>
      <b/>
      <sz val="18"/>
      <color indexed="13"/>
      <name val="Arial Narrow"/>
      <family val="2"/>
    </font>
    <font>
      <i/>
      <sz val="10"/>
      <name val="Arial Narrow"/>
      <family val="2"/>
    </font>
    <font>
      <b/>
      <vertAlign val="superscript"/>
      <sz val="10"/>
      <name val="Arial Narrow"/>
      <family val="2"/>
    </font>
    <font>
      <b/>
      <u val="single"/>
      <sz val="14"/>
      <color indexed="10"/>
      <name val="Arial Narrow"/>
      <family val="2"/>
    </font>
    <font>
      <i/>
      <sz val="9"/>
      <name val="Arial Narrow"/>
      <family val="2"/>
    </font>
    <font>
      <b/>
      <u val="single"/>
      <sz val="18"/>
      <name val="Arial Narrow"/>
      <family val="2"/>
    </font>
    <font>
      <i/>
      <u val="single"/>
      <sz val="10"/>
      <name val="Arial Narrow"/>
      <family val="2"/>
    </font>
    <font>
      <b/>
      <sz val="9"/>
      <color indexed="13"/>
      <name val="Arial Narrow"/>
      <family val="2"/>
    </font>
    <font>
      <sz val="8"/>
      <name val="Segoe UI"/>
      <family val="2"/>
    </font>
    <font>
      <b/>
      <i/>
      <sz val="10"/>
      <name val="Arial Narrow"/>
      <family val="2"/>
    </font>
    <font>
      <b/>
      <i/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 Narrow"/>
      <family val="2"/>
    </font>
    <font>
      <b/>
      <sz val="11"/>
      <color indexed="27"/>
      <name val="Arial Narrow"/>
      <family val="2"/>
    </font>
    <font>
      <b/>
      <sz val="12"/>
      <color indexed="13"/>
      <name val="Arial Narrow"/>
      <family val="2"/>
    </font>
    <font>
      <i/>
      <sz val="10"/>
      <color indexed="10"/>
      <name val="Arial Narrow"/>
      <family val="2"/>
    </font>
    <font>
      <b/>
      <sz val="12"/>
      <color indexed="30"/>
      <name val="Arial Narrow"/>
      <family val="2"/>
    </font>
    <font>
      <sz val="10"/>
      <color indexed="52"/>
      <name val="Arial Narrow"/>
      <family val="2"/>
    </font>
    <font>
      <sz val="8"/>
      <color indexed="52"/>
      <name val="Arial Narrow"/>
      <family val="2"/>
    </font>
    <font>
      <sz val="9"/>
      <color indexed="52"/>
      <name val="Arial Narrow"/>
      <family val="2"/>
    </font>
    <font>
      <b/>
      <u val="single"/>
      <sz val="10"/>
      <color indexed="52"/>
      <name val="Arial Narrow"/>
      <family val="2"/>
    </font>
    <font>
      <b/>
      <i/>
      <sz val="12"/>
      <color indexed="12"/>
      <name val="Arial Narrow"/>
      <family val="2"/>
    </font>
    <font>
      <sz val="8"/>
      <color indexed="51"/>
      <name val="Arial Narrow"/>
      <family val="2"/>
    </font>
    <font>
      <sz val="9"/>
      <color indexed="51"/>
      <name val="Arial Narrow"/>
      <family val="2"/>
    </font>
    <font>
      <b/>
      <sz val="10"/>
      <color indexed="57"/>
      <name val="Arial Narrow"/>
      <family val="2"/>
    </font>
    <font>
      <b/>
      <i/>
      <sz val="10"/>
      <color indexed="13"/>
      <name val="Arial Narrow"/>
      <family val="2"/>
    </font>
    <font>
      <b/>
      <sz val="24"/>
      <color indexed="12"/>
      <name val="Arial Narrow"/>
      <family val="2"/>
    </font>
    <font>
      <i/>
      <sz val="10"/>
      <color indexed="9"/>
      <name val="Arial Narrow"/>
      <family val="2"/>
    </font>
    <font>
      <b/>
      <u val="single"/>
      <sz val="12"/>
      <color indexed="8"/>
      <name val="Calibri"/>
      <family val="0"/>
    </font>
    <font>
      <b/>
      <sz val="12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/>
      <name val="Arial Narrow"/>
      <family val="2"/>
    </font>
    <font>
      <b/>
      <sz val="11"/>
      <color rgb="FFCCFFFF"/>
      <name val="Arial Narrow"/>
      <family val="2"/>
    </font>
    <font>
      <b/>
      <sz val="12"/>
      <color rgb="FFFFFF00"/>
      <name val="Arial Narrow"/>
      <family val="2"/>
    </font>
    <font>
      <i/>
      <sz val="10"/>
      <color rgb="FFFF0000"/>
      <name val="Arial Narrow"/>
      <family val="2"/>
    </font>
    <font>
      <b/>
      <sz val="12"/>
      <color rgb="FF0033CC"/>
      <name val="Arial Narrow"/>
      <family val="2"/>
    </font>
    <font>
      <sz val="10"/>
      <color theme="9" tint="0.39998000860214233"/>
      <name val="Arial Narrow"/>
      <family val="2"/>
    </font>
    <font>
      <sz val="8"/>
      <color theme="9" tint="0.39998000860214233"/>
      <name val="Arial Narrow"/>
      <family val="2"/>
    </font>
    <font>
      <sz val="9"/>
      <color theme="9" tint="0.39998000860214233"/>
      <name val="Arial Narrow"/>
      <family val="2"/>
    </font>
    <font>
      <b/>
      <u val="single"/>
      <sz val="10"/>
      <color theme="9" tint="0.39998000860214233"/>
      <name val="Arial Narrow"/>
      <family val="2"/>
    </font>
    <font>
      <b/>
      <sz val="10"/>
      <color rgb="FF0000FF"/>
      <name val="Arial Narrow"/>
      <family val="2"/>
    </font>
    <font>
      <b/>
      <i/>
      <sz val="12"/>
      <color rgb="FF0000FF"/>
      <name val="Arial Narrow"/>
      <family val="2"/>
    </font>
    <font>
      <sz val="8"/>
      <color theme="9" tint="0.5999600291252136"/>
      <name val="Arial Narrow"/>
      <family val="2"/>
    </font>
    <font>
      <sz val="9"/>
      <color theme="9" tint="0.5999600291252136"/>
      <name val="Arial Narrow"/>
      <family val="2"/>
    </font>
    <font>
      <sz val="9"/>
      <color theme="9" tint="0.3999499976634979"/>
      <name val="Arial Narrow"/>
      <family val="2"/>
    </font>
    <font>
      <b/>
      <sz val="24"/>
      <color rgb="FF0000CC"/>
      <name val="Arial Narrow"/>
      <family val="2"/>
    </font>
    <font>
      <b/>
      <sz val="10"/>
      <color rgb="FF339966"/>
      <name val="Arial Narrow"/>
      <family val="2"/>
    </font>
    <font>
      <b/>
      <i/>
      <u val="single"/>
      <sz val="11"/>
      <color rgb="FFFF0000"/>
      <name val="Arial Narrow"/>
      <family val="2"/>
    </font>
    <font>
      <b/>
      <i/>
      <sz val="10"/>
      <color rgb="FFFFFF00"/>
      <name val="Arial Narrow"/>
      <family val="2"/>
    </font>
    <font>
      <b/>
      <i/>
      <sz val="11"/>
      <color rgb="FFFF0000"/>
      <name val="Arial Narrow"/>
      <family val="2"/>
    </font>
    <font>
      <i/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b/>
      <sz val="12"/>
      <color rgb="FF0000FF"/>
      <name val="Arial Narrow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9FFFF"/>
        <bgColor indexed="64"/>
      </patternFill>
    </fill>
    <fill>
      <gradientFill type="path">
        <stop position="0">
          <color theme="9" tint="0.8000100255012512"/>
        </stop>
        <stop position="1">
          <color theme="9" tint="-0.2509700059890747"/>
        </stop>
      </gradientFill>
    </fill>
    <fill>
      <gradientFill type="path">
        <stop position="0">
          <color theme="9" tint="0.8000100255012512"/>
        </stop>
        <stop position="1">
          <color theme="9" tint="-0.2509700059890747"/>
        </stop>
      </gradientFill>
    </fill>
    <fill>
      <gradientFill type="path">
        <stop position="0">
          <color theme="9" tint="0.8000100255012512"/>
        </stop>
        <stop position="1">
          <color theme="9" tint="-0.2509700059890747"/>
        </stop>
      </gradientFill>
    </fill>
    <fill>
      <gradientFill type="path">
        <stop position="0">
          <color theme="9" tint="0.8000100255012512"/>
        </stop>
        <stop position="1">
          <color theme="9" tint="-0.2509700059890747"/>
        </stop>
      </gradientFill>
    </fill>
    <fill>
      <gradientFill type="path">
        <stop position="0">
          <color theme="9" tint="0.8000100255012512"/>
        </stop>
        <stop position="1">
          <color theme="9" tint="-0.2509700059890747"/>
        </stop>
      </gradientFill>
    </fill>
    <fill>
      <gradientFill type="path">
        <stop position="0">
          <color theme="9" tint="0.8000100255012512"/>
        </stop>
        <stop position="1">
          <color theme="9" tint="-0.2509700059890747"/>
        </stop>
      </gradientFill>
    </fill>
    <fill>
      <patternFill patternType="solid">
        <fgColor theme="9" tint="0.399949997663497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FFFF00"/>
      </left>
      <right style="thin">
        <color rgb="FFFFFF00"/>
      </right>
      <top style="thin"/>
      <bottom style="thin"/>
    </border>
    <border>
      <left style="thin">
        <color rgb="FFFFFF00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medium"/>
      <right style="medium"/>
      <top style="medium"/>
      <bottom style="thin">
        <color theme="0"/>
      </bottom>
    </border>
    <border>
      <left style="medium"/>
      <right style="medium"/>
      <top style="thin">
        <color theme="0"/>
      </top>
      <bottom style="thin">
        <color theme="0"/>
      </bottom>
    </border>
    <border>
      <left style="medium"/>
      <right style="medium"/>
      <top style="thin">
        <color theme="0"/>
      </top>
      <bottom style="medium"/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>
        <color indexed="63"/>
      </left>
      <right style="thin">
        <color theme="0"/>
      </right>
      <top style="medium"/>
      <bottom style="medium"/>
    </border>
    <border>
      <left style="thin"/>
      <right style="thin">
        <color rgb="FFFFFF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FF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26" borderId="1" applyNumberFormat="0" applyAlignment="0" applyProtection="0"/>
    <xf numFmtId="0" fontId="108" fillId="0" borderId="2" applyNumberFormat="0" applyFill="0" applyAlignment="0" applyProtection="0"/>
    <xf numFmtId="0" fontId="109" fillId="27" borderId="1" applyNumberFormat="0" applyAlignment="0" applyProtection="0"/>
    <xf numFmtId="0" fontId="110" fillId="28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114" fillId="31" borderId="0" applyNumberFormat="0" applyBorder="0" applyAlignment="0" applyProtection="0"/>
    <xf numFmtId="0" fontId="115" fillId="26" borderId="4" applyNumberFormat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5" applyNumberFormat="0" applyFill="0" applyAlignment="0" applyProtection="0"/>
    <xf numFmtId="0" fontId="119" fillId="0" borderId="6" applyNumberFormat="0" applyFill="0" applyAlignment="0" applyProtection="0"/>
    <xf numFmtId="0" fontId="120" fillId="0" borderId="7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8" applyNumberFormat="0" applyFill="0" applyAlignment="0" applyProtection="0"/>
    <xf numFmtId="0" fontId="122" fillId="32" borderId="9" applyNumberFormat="0" applyAlignment="0" applyProtection="0"/>
  </cellStyleXfs>
  <cellXfs count="42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 textRotation="90" shrinkToFit="1"/>
      <protection/>
    </xf>
    <xf numFmtId="0" fontId="2" fillId="34" borderId="0" xfId="0" applyFont="1" applyFill="1" applyAlignment="1" applyProtection="1">
      <alignment horizontal="center" vertical="center" textRotation="180"/>
      <protection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176" fontId="123" fillId="34" borderId="0" xfId="0" applyNumberFormat="1" applyFont="1" applyFill="1" applyAlignment="1" applyProtection="1">
      <alignment horizontal="center"/>
      <protection/>
    </xf>
    <xf numFmtId="0" fontId="17" fillId="36" borderId="0" xfId="0" applyFont="1" applyFill="1" applyAlignment="1" applyProtection="1">
      <alignment vertical="center"/>
      <protection/>
    </xf>
    <xf numFmtId="0" fontId="5" fillId="37" borderId="12" xfId="0" applyFont="1" applyFill="1" applyBorder="1" applyAlignment="1" applyProtection="1">
      <alignment horizontal="center" vertical="center"/>
      <protection locked="0"/>
    </xf>
    <xf numFmtId="0" fontId="5" fillId="37" borderId="10" xfId="0" applyFont="1" applyFill="1" applyBorder="1" applyAlignment="1" applyProtection="1">
      <alignment horizontal="center" vertical="center"/>
      <protection locked="0"/>
    </xf>
    <xf numFmtId="175" fontId="5" fillId="37" borderId="11" xfId="0" applyNumberFormat="1" applyFont="1" applyFill="1" applyBorder="1" applyAlignment="1" applyProtection="1">
      <alignment horizontal="center" vertical="center"/>
      <protection locked="0"/>
    </xf>
    <xf numFmtId="0" fontId="16" fillId="37" borderId="11" xfId="0" applyFont="1" applyFill="1" applyBorder="1" applyAlignment="1" applyProtection="1">
      <alignment horizontal="center" vertical="center"/>
      <protection locked="0"/>
    </xf>
    <xf numFmtId="0" fontId="6" fillId="37" borderId="11" xfId="0" applyFont="1" applyFill="1" applyBorder="1" applyAlignment="1" applyProtection="1">
      <alignment horizontal="center" vertical="center"/>
      <protection locked="0"/>
    </xf>
    <xf numFmtId="0" fontId="6" fillId="37" borderId="13" xfId="0" applyFont="1" applyFill="1" applyBorder="1" applyAlignment="1" applyProtection="1">
      <alignment horizontal="centerContinuous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35" fillId="0" borderId="16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3" fontId="1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173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173" fontId="3" fillId="0" borderId="15" xfId="0" applyNumberFormat="1" applyFont="1" applyBorder="1" applyAlignment="1" applyProtection="1">
      <alignment horizontal="center" vertical="center"/>
      <protection/>
    </xf>
    <xf numFmtId="173" fontId="38" fillId="0" borderId="15" xfId="0" applyNumberFormat="1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Continuous" vertical="center"/>
      <protection/>
    </xf>
    <xf numFmtId="0" fontId="36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Continuous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1" fontId="19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1" fontId="19" fillId="0" borderId="23" xfId="0" applyNumberFormat="1" applyFont="1" applyFill="1" applyBorder="1" applyAlignment="1" applyProtection="1">
      <alignment horizontal="center" vertical="center"/>
      <protection/>
    </xf>
    <xf numFmtId="1" fontId="19" fillId="0" borderId="23" xfId="0" applyNumberFormat="1" applyFont="1" applyFill="1" applyBorder="1" applyAlignment="1" applyProtection="1">
      <alignment horizontal="centerContinuous" vertical="center"/>
      <protection/>
    </xf>
    <xf numFmtId="173" fontId="19" fillId="0" borderId="23" xfId="0" applyNumberFormat="1" applyFont="1" applyFill="1" applyBorder="1" applyAlignment="1" applyProtection="1">
      <alignment horizontal="centerContinuous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173" fontId="9" fillId="0" borderId="18" xfId="0" applyNumberFormat="1" applyFont="1" applyFill="1" applyBorder="1" applyAlignment="1" applyProtection="1">
      <alignment vertical="center"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1" fontId="17" fillId="0" borderId="23" xfId="0" applyNumberFormat="1" applyFont="1" applyFill="1" applyBorder="1" applyAlignment="1" applyProtection="1">
      <alignment horizontal="center" vertical="center"/>
      <protection/>
    </xf>
    <xf numFmtId="173" fontId="17" fillId="0" borderId="23" xfId="0" applyNumberFormat="1" applyFont="1" applyFill="1" applyBorder="1" applyAlignment="1" applyProtection="1">
      <alignment horizontal="center" vertical="center"/>
      <protection/>
    </xf>
    <xf numFmtId="1" fontId="17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Continuous"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73" fontId="38" fillId="0" borderId="18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Continuous" vertical="center"/>
      <protection/>
    </xf>
    <xf numFmtId="0" fontId="40" fillId="35" borderId="25" xfId="0" applyFont="1" applyFill="1" applyBorder="1" applyAlignment="1" applyProtection="1">
      <alignment horizontal="centerContinuous" vertical="center"/>
      <protection/>
    </xf>
    <xf numFmtId="0" fontId="41" fillId="35" borderId="24" xfId="0" applyFont="1" applyFill="1" applyBorder="1" applyAlignment="1" applyProtection="1">
      <alignment horizontal="centerContinuous" vertical="center"/>
      <protection/>
    </xf>
    <xf numFmtId="0" fontId="41" fillId="35" borderId="22" xfId="0" applyFont="1" applyFill="1" applyBorder="1" applyAlignment="1" applyProtection="1">
      <alignment horizontal="centerContinuous" vertical="center"/>
      <protection/>
    </xf>
    <xf numFmtId="0" fontId="3" fillId="0" borderId="20" xfId="0" applyFont="1" applyFill="1" applyBorder="1" applyAlignment="1" applyProtection="1">
      <alignment horizontal="centerContinuous" vertical="center"/>
      <protection/>
    </xf>
    <xf numFmtId="0" fontId="3" fillId="0" borderId="16" xfId="0" applyFont="1" applyFill="1" applyBorder="1" applyAlignment="1" applyProtection="1">
      <alignment horizontal="centerContinuous" vertical="center"/>
      <protection/>
    </xf>
    <xf numFmtId="0" fontId="2" fillId="0" borderId="20" xfId="0" applyFont="1" applyFill="1" applyBorder="1" applyAlignment="1" applyProtection="1">
      <alignment horizontal="centerContinuous" vertical="center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Continuous" vertical="center"/>
      <protection/>
    </xf>
    <xf numFmtId="0" fontId="3" fillId="0" borderId="22" xfId="0" applyFont="1" applyFill="1" applyBorder="1" applyAlignment="1" applyProtection="1">
      <alignment horizontal="centerContinuous" vertical="center"/>
      <protection/>
    </xf>
    <xf numFmtId="0" fontId="2" fillId="0" borderId="25" xfId="0" applyFont="1" applyFill="1" applyBorder="1" applyAlignment="1" applyProtection="1">
      <alignment horizontal="centerContinuous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25" xfId="0" applyNumberFormat="1" applyFont="1" applyBorder="1" applyAlignment="1" applyProtection="1">
      <alignment horizontal="centerContinuous" vertical="center"/>
      <protection/>
    </xf>
    <xf numFmtId="0" fontId="2" fillId="0" borderId="22" xfId="0" applyFont="1" applyBorder="1" applyAlignment="1" applyProtection="1">
      <alignment horizontal="centerContinuous" vertical="center"/>
      <protection/>
    </xf>
    <xf numFmtId="173" fontId="3" fillId="0" borderId="0" xfId="0" applyNumberFormat="1" applyFont="1" applyFill="1" applyAlignment="1" applyProtection="1">
      <alignment horizontal="center" vertical="center"/>
      <protection/>
    </xf>
    <xf numFmtId="173" fontId="2" fillId="0" borderId="25" xfId="0" applyNumberFormat="1" applyFont="1" applyFill="1" applyBorder="1" applyAlignment="1" applyProtection="1">
      <alignment horizontal="centerContinuous" vertical="center"/>
      <protection/>
    </xf>
    <xf numFmtId="173" fontId="3" fillId="0" borderId="22" xfId="0" applyNumberFormat="1" applyFont="1" applyFill="1" applyBorder="1" applyAlignment="1" applyProtection="1">
      <alignment horizontal="centerContinuous" vertical="center"/>
      <protection/>
    </xf>
    <xf numFmtId="0" fontId="4" fillId="35" borderId="25" xfId="0" applyFont="1" applyFill="1" applyBorder="1" applyAlignment="1" applyProtection="1">
      <alignment horizontal="centerContinuous" vertical="center"/>
      <protection/>
    </xf>
    <xf numFmtId="0" fontId="42" fillId="0" borderId="0" xfId="0" applyFont="1" applyAlignment="1" applyProtection="1">
      <alignment vertical="center"/>
      <protection/>
    </xf>
    <xf numFmtId="0" fontId="2" fillId="27" borderId="26" xfId="0" applyFont="1" applyFill="1" applyBorder="1" applyAlignment="1" applyProtection="1">
      <alignment horizontal="center" vertical="center"/>
      <protection/>
    </xf>
    <xf numFmtId="0" fontId="2" fillId="27" borderId="27" xfId="0" applyFont="1" applyFill="1" applyBorder="1" applyAlignment="1" applyProtection="1">
      <alignment horizontal="center" vertical="center"/>
      <protection/>
    </xf>
    <xf numFmtId="0" fontId="26" fillId="27" borderId="14" xfId="0" applyFont="1" applyFill="1" applyBorder="1" applyAlignment="1" applyProtection="1">
      <alignment vertical="center" wrapText="1"/>
      <protection/>
    </xf>
    <xf numFmtId="0" fontId="27" fillId="27" borderId="18" xfId="0" applyFont="1" applyFill="1" applyBorder="1" applyAlignment="1" applyProtection="1">
      <alignment vertical="center" wrapText="1"/>
      <protection/>
    </xf>
    <xf numFmtId="0" fontId="49" fillId="34" borderId="0" xfId="0" applyFont="1" applyFill="1" applyAlignment="1" applyProtection="1">
      <alignment horizontal="center" vertical="center"/>
      <protection/>
    </xf>
    <xf numFmtId="0" fontId="3" fillId="38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27" borderId="0" xfId="0" applyFont="1" applyFill="1" applyBorder="1" applyAlignment="1" applyProtection="1">
      <alignment vertical="center"/>
      <protection/>
    </xf>
    <xf numFmtId="0" fontId="28" fillId="27" borderId="0" xfId="0" applyFont="1" applyFill="1" applyBorder="1" applyAlignment="1" applyProtection="1">
      <alignment vertical="center"/>
      <protection/>
    </xf>
    <xf numFmtId="0" fontId="50" fillId="27" borderId="0" xfId="0" applyFont="1" applyFill="1" applyBorder="1" applyAlignment="1" applyProtection="1">
      <alignment horizontal="center" vertical="center"/>
      <protection/>
    </xf>
    <xf numFmtId="0" fontId="53" fillId="27" borderId="0" xfId="0" applyFont="1" applyFill="1" applyBorder="1" applyAlignment="1" applyProtection="1">
      <alignment horizontal="centerContinuous" vertical="center"/>
      <protection hidden="1"/>
    </xf>
    <xf numFmtId="0" fontId="3" fillId="27" borderId="0" xfId="0" applyFont="1" applyFill="1" applyBorder="1" applyAlignment="1" applyProtection="1">
      <alignment vertical="center"/>
      <protection hidden="1"/>
    </xf>
    <xf numFmtId="0" fontId="3" fillId="27" borderId="0" xfId="0" applyFont="1" applyFill="1" applyAlignment="1" applyProtection="1">
      <alignment vertical="center"/>
      <protection/>
    </xf>
    <xf numFmtId="0" fontId="45" fillId="27" borderId="0" xfId="0" applyFont="1" applyFill="1" applyBorder="1" applyAlignment="1" applyProtection="1">
      <alignment horizontal="center" vertical="center"/>
      <protection hidden="1"/>
    </xf>
    <xf numFmtId="0" fontId="45" fillId="27" borderId="0" xfId="0" applyFont="1" applyFill="1" applyAlignment="1" applyProtection="1">
      <alignment horizontal="center" vertical="center"/>
      <protection/>
    </xf>
    <xf numFmtId="0" fontId="3" fillId="27" borderId="0" xfId="0" applyFont="1" applyFill="1" applyAlignment="1" applyProtection="1">
      <alignment vertical="center"/>
      <protection hidden="1"/>
    </xf>
    <xf numFmtId="0" fontId="2" fillId="30" borderId="28" xfId="0" applyFont="1" applyFill="1" applyBorder="1" applyAlignment="1" applyProtection="1">
      <alignment horizontal="center" vertical="center"/>
      <protection hidden="1"/>
    </xf>
    <xf numFmtId="173" fontId="2" fillId="30" borderId="28" xfId="0" applyNumberFormat="1" applyFont="1" applyFill="1" applyBorder="1" applyAlignment="1" applyProtection="1">
      <alignment horizontal="center" vertical="center"/>
      <protection/>
    </xf>
    <xf numFmtId="0" fontId="2" fillId="30" borderId="29" xfId="0" applyFont="1" applyFill="1" applyBorder="1" applyAlignment="1" applyProtection="1">
      <alignment horizontal="center" vertical="center"/>
      <protection hidden="1"/>
    </xf>
    <xf numFmtId="173" fontId="2" fillId="30" borderId="29" xfId="0" applyNumberFormat="1" applyFont="1" applyFill="1" applyBorder="1" applyAlignment="1" applyProtection="1">
      <alignment horizontal="center" vertical="center"/>
      <protection/>
    </xf>
    <xf numFmtId="0" fontId="3" fillId="30" borderId="18" xfId="0" applyFont="1" applyFill="1" applyBorder="1" applyAlignment="1" applyProtection="1">
      <alignment horizontal="left" vertical="center"/>
      <protection/>
    </xf>
    <xf numFmtId="0" fontId="3" fillId="30" borderId="0" xfId="0" applyFont="1" applyFill="1" applyBorder="1" applyAlignment="1" applyProtection="1">
      <alignment horizontal="left" vertical="center"/>
      <protection/>
    </xf>
    <xf numFmtId="0" fontId="3" fillId="30" borderId="15" xfId="0" applyFont="1" applyFill="1" applyBorder="1" applyAlignment="1" applyProtection="1">
      <alignment horizontal="left" vertical="center"/>
      <protection/>
    </xf>
    <xf numFmtId="0" fontId="124" fillId="39" borderId="30" xfId="0" applyFont="1" applyFill="1" applyBorder="1" applyAlignment="1" applyProtection="1">
      <alignment horizontal="center" vertical="center"/>
      <protection/>
    </xf>
    <xf numFmtId="0" fontId="124" fillId="39" borderId="30" xfId="0" applyFont="1" applyFill="1" applyBorder="1" applyAlignment="1" applyProtection="1">
      <alignment horizontal="center" vertical="center" wrapText="1"/>
      <protection hidden="1"/>
    </xf>
    <xf numFmtId="0" fontId="124" fillId="39" borderId="31" xfId="0" applyFont="1" applyFill="1" applyBorder="1" applyAlignment="1" applyProtection="1">
      <alignment horizontal="center" vertical="center"/>
      <protection hidden="1"/>
    </xf>
    <xf numFmtId="173" fontId="19" fillId="0" borderId="10" xfId="0" applyNumberFormat="1" applyFont="1" applyFill="1" applyBorder="1" applyAlignment="1" applyProtection="1" quotePrefix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 wrapText="1"/>
      <protection/>
    </xf>
    <xf numFmtId="0" fontId="30" fillId="27" borderId="0" xfId="0" applyFont="1" applyFill="1" applyAlignment="1" applyProtection="1">
      <alignment vertical="center"/>
      <protection/>
    </xf>
    <xf numFmtId="0" fontId="30" fillId="27" borderId="0" xfId="0" applyFont="1" applyFill="1" applyBorder="1" applyAlignment="1" applyProtection="1">
      <alignment vertical="center"/>
      <protection/>
    </xf>
    <xf numFmtId="0" fontId="125" fillId="40" borderId="28" xfId="0" applyFont="1" applyFill="1" applyBorder="1" applyAlignment="1" applyProtection="1">
      <alignment horizontal="center" vertical="center"/>
      <protection locked="0"/>
    </xf>
    <xf numFmtId="0" fontId="125" fillId="40" borderId="29" xfId="0" applyFont="1" applyFill="1" applyBorder="1" applyAlignment="1" applyProtection="1">
      <alignment horizontal="center" vertical="center"/>
      <protection locked="0"/>
    </xf>
    <xf numFmtId="0" fontId="50" fillId="27" borderId="0" xfId="0" applyFont="1" applyFill="1" applyAlignment="1" applyProtection="1">
      <alignment vertical="center"/>
      <protection/>
    </xf>
    <xf numFmtId="0" fontId="50" fillId="27" borderId="0" xfId="0" applyFont="1" applyFill="1" applyBorder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/>
      <protection/>
    </xf>
    <xf numFmtId="1" fontId="19" fillId="0" borderId="0" xfId="0" applyNumberFormat="1" applyFont="1" applyBorder="1" applyAlignment="1" applyProtection="1">
      <alignment vertical="center"/>
      <protection/>
    </xf>
    <xf numFmtId="1" fontId="19" fillId="0" borderId="22" xfId="0" applyNumberFormat="1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vertical="center"/>
      <protection/>
    </xf>
    <xf numFmtId="1" fontId="3" fillId="0" borderId="24" xfId="0" applyNumberFormat="1" applyFont="1" applyBorder="1" applyAlignment="1" applyProtection="1">
      <alignment vertical="center"/>
      <protection/>
    </xf>
    <xf numFmtId="1" fontId="17" fillId="0" borderId="0" xfId="0" applyNumberFormat="1" applyFont="1" applyBorder="1" applyAlignment="1" applyProtection="1">
      <alignment vertical="center"/>
      <protection/>
    </xf>
    <xf numFmtId="173" fontId="17" fillId="0" borderId="0" xfId="0" applyNumberFormat="1" applyFont="1" applyBorder="1" applyAlignment="1" applyProtection="1">
      <alignment vertical="center"/>
      <protection/>
    </xf>
    <xf numFmtId="1" fontId="17" fillId="0" borderId="15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173" fontId="19" fillId="0" borderId="0" xfId="0" applyNumberFormat="1" applyFont="1" applyBorder="1" applyAlignment="1" applyProtection="1">
      <alignment vertical="center"/>
      <protection/>
    </xf>
    <xf numFmtId="0" fontId="126" fillId="0" borderId="0" xfId="0" applyFont="1" applyBorder="1" applyAlignment="1" applyProtection="1">
      <alignment horizontal="centerContinuous" vertical="center"/>
      <protection/>
    </xf>
    <xf numFmtId="0" fontId="126" fillId="0" borderId="0" xfId="0" applyFont="1" applyFill="1" applyBorder="1" applyAlignment="1" applyProtection="1">
      <alignment vertical="center"/>
      <protection/>
    </xf>
    <xf numFmtId="1" fontId="19" fillId="0" borderId="16" xfId="0" applyNumberFormat="1" applyFont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 quotePrefix="1">
      <alignment horizontal="center" vertical="center"/>
      <protection/>
    </xf>
    <xf numFmtId="0" fontId="19" fillId="0" borderId="25" xfId="0" applyNumberFormat="1" applyFont="1" applyFill="1" applyBorder="1" applyAlignment="1" applyProtection="1" quotePrefix="1">
      <alignment horizontal="center" vertical="center"/>
      <protection/>
    </xf>
    <xf numFmtId="173" fontId="19" fillId="0" borderId="25" xfId="0" applyNumberFormat="1" applyFont="1" applyFill="1" applyBorder="1" applyAlignment="1" applyProtection="1" quotePrefix="1">
      <alignment horizontal="center" vertical="center"/>
      <protection/>
    </xf>
    <xf numFmtId="0" fontId="19" fillId="0" borderId="15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173" fontId="3" fillId="0" borderId="10" xfId="0" applyNumberFormat="1" applyFont="1" applyBorder="1" applyAlignment="1" applyProtection="1">
      <alignment horizontal="center" vertical="center"/>
      <protection/>
    </xf>
    <xf numFmtId="173" fontId="3" fillId="0" borderId="0" xfId="0" applyNumberFormat="1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27" fillId="30" borderId="29" xfId="0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23" fillId="7" borderId="33" xfId="0" applyFont="1" applyFill="1" applyBorder="1" applyAlignment="1" applyProtection="1">
      <alignment horizontal="center" vertical="center"/>
      <protection/>
    </xf>
    <xf numFmtId="0" fontId="3" fillId="34" borderId="34" xfId="0" applyFont="1" applyFill="1" applyBorder="1" applyAlignment="1" applyProtection="1">
      <alignment vertical="center"/>
      <protection/>
    </xf>
    <xf numFmtId="0" fontId="23" fillId="7" borderId="35" xfId="0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 horizontal="center" vertical="center"/>
      <protection/>
    </xf>
    <xf numFmtId="0" fontId="19" fillId="36" borderId="0" xfId="0" applyFont="1" applyFill="1" applyAlignment="1" applyProtection="1">
      <alignment horizontal="center" vertical="center"/>
      <protection/>
    </xf>
    <xf numFmtId="0" fontId="22" fillId="36" borderId="0" xfId="0" applyFont="1" applyFill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/>
      <protection/>
    </xf>
    <xf numFmtId="0" fontId="9" fillId="35" borderId="37" xfId="0" applyFont="1" applyFill="1" applyBorder="1" applyAlignment="1" applyProtection="1">
      <alignment horizontal="center" vertical="center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128" fillId="36" borderId="0" xfId="0" applyFont="1" applyFill="1" applyAlignment="1" applyProtection="1">
      <alignment vertical="center"/>
      <protection/>
    </xf>
    <xf numFmtId="0" fontId="9" fillId="35" borderId="16" xfId="0" applyFont="1" applyFill="1" applyBorder="1" applyAlignment="1" applyProtection="1">
      <alignment horizontal="center" vertical="center"/>
      <protection/>
    </xf>
    <xf numFmtId="0" fontId="17" fillId="36" borderId="0" xfId="0" applyFont="1" applyFill="1" applyAlignment="1" applyProtection="1">
      <alignment horizontal="center" vertical="center"/>
      <protection/>
    </xf>
    <xf numFmtId="0" fontId="19" fillId="41" borderId="10" xfId="0" applyFont="1" applyFill="1" applyBorder="1" applyAlignment="1" applyProtection="1">
      <alignment vertical="center"/>
      <protection/>
    </xf>
    <xf numFmtId="1" fontId="19" fillId="41" borderId="10" xfId="0" applyNumberFormat="1" applyFont="1" applyFill="1" applyBorder="1" applyAlignment="1" applyProtection="1">
      <alignment horizontal="center" vertical="center"/>
      <protection/>
    </xf>
    <xf numFmtId="173" fontId="19" fillId="41" borderId="10" xfId="0" applyNumberFormat="1" applyFont="1" applyFill="1" applyBorder="1" applyAlignment="1" applyProtection="1">
      <alignment horizontal="center" vertical="center"/>
      <protection/>
    </xf>
    <xf numFmtId="0" fontId="129" fillId="36" borderId="0" xfId="0" applyFont="1" applyFill="1" applyAlignment="1" applyProtection="1">
      <alignment horizontal="center" vertical="center"/>
      <protection/>
    </xf>
    <xf numFmtId="0" fontId="19" fillId="36" borderId="0" xfId="0" applyFont="1" applyFill="1" applyAlignment="1" applyProtection="1">
      <alignment vertical="center"/>
      <protection/>
    </xf>
    <xf numFmtId="173" fontId="19" fillId="36" borderId="0" xfId="0" applyNumberFormat="1" applyFont="1" applyFill="1" applyAlignment="1" applyProtection="1">
      <alignment vertical="center"/>
      <protection/>
    </xf>
    <xf numFmtId="0" fontId="19" fillId="42" borderId="10" xfId="0" applyFont="1" applyFill="1" applyBorder="1" applyAlignment="1" applyProtection="1">
      <alignment vertical="center"/>
      <protection/>
    </xf>
    <xf numFmtId="0" fontId="19" fillId="42" borderId="10" xfId="0" applyFont="1" applyFill="1" applyBorder="1" applyAlignment="1" applyProtection="1">
      <alignment horizontal="center" vertical="center"/>
      <protection/>
    </xf>
    <xf numFmtId="173" fontId="19" fillId="42" borderId="10" xfId="0" applyNumberFormat="1" applyFont="1" applyFill="1" applyBorder="1" applyAlignment="1" applyProtection="1">
      <alignment horizontal="center" vertical="center"/>
      <protection/>
    </xf>
    <xf numFmtId="0" fontId="19" fillId="43" borderId="10" xfId="0" applyFont="1" applyFill="1" applyBorder="1" applyAlignment="1" applyProtection="1">
      <alignment vertical="center"/>
      <protection/>
    </xf>
    <xf numFmtId="0" fontId="19" fillId="43" borderId="10" xfId="0" applyFont="1" applyFill="1" applyBorder="1" applyAlignment="1" applyProtection="1">
      <alignment horizontal="center" vertical="center"/>
      <protection/>
    </xf>
    <xf numFmtId="173" fontId="19" fillId="43" borderId="10" xfId="0" applyNumberFormat="1" applyFont="1" applyFill="1" applyBorder="1" applyAlignment="1" applyProtection="1">
      <alignment horizontal="center" vertical="center"/>
      <protection/>
    </xf>
    <xf numFmtId="173" fontId="19" fillId="36" borderId="0" xfId="0" applyNumberFormat="1" applyFont="1" applyFill="1" applyAlignment="1" applyProtection="1">
      <alignment horizontal="center" vertical="center"/>
      <protection/>
    </xf>
    <xf numFmtId="173" fontId="3" fillId="34" borderId="0" xfId="0" applyNumberFormat="1" applyFont="1" applyFill="1" applyAlignment="1" applyProtection="1">
      <alignment vertical="center"/>
      <protection/>
    </xf>
    <xf numFmtId="0" fontId="17" fillId="34" borderId="0" xfId="0" applyFont="1" applyFill="1" applyAlignment="1" applyProtection="1">
      <alignment vertical="center"/>
      <protection/>
    </xf>
    <xf numFmtId="0" fontId="130" fillId="36" borderId="0" xfId="0" applyFont="1" applyFill="1" applyAlignment="1" applyProtection="1">
      <alignment vertical="center"/>
      <protection/>
    </xf>
    <xf numFmtId="0" fontId="19" fillId="41" borderId="10" xfId="0" applyFont="1" applyFill="1" applyBorder="1" applyAlignment="1" applyProtection="1">
      <alignment horizontal="center" vertical="center"/>
      <protection/>
    </xf>
    <xf numFmtId="0" fontId="19" fillId="42" borderId="12" xfId="0" applyFont="1" applyFill="1" applyBorder="1" applyAlignment="1" applyProtection="1">
      <alignment horizontal="center" vertical="center"/>
      <protection/>
    </xf>
    <xf numFmtId="173" fontId="19" fillId="34" borderId="0" xfId="0" applyNumberFormat="1" applyFont="1" applyFill="1" applyAlignment="1" applyProtection="1">
      <alignment horizontal="center" vertical="center"/>
      <protection/>
    </xf>
    <xf numFmtId="173" fontId="3" fillId="36" borderId="0" xfId="0" applyNumberFormat="1" applyFont="1" applyFill="1" applyAlignment="1" applyProtection="1">
      <alignment vertical="center"/>
      <protection/>
    </xf>
    <xf numFmtId="0" fontId="3" fillId="36" borderId="21" xfId="0" applyFont="1" applyFill="1" applyBorder="1" applyAlignment="1" applyProtection="1">
      <alignment vertical="center"/>
      <protection/>
    </xf>
    <xf numFmtId="0" fontId="53" fillId="27" borderId="0" xfId="0" applyFont="1" applyFill="1" applyBorder="1" applyAlignment="1" applyProtection="1">
      <alignment horizontal="centerContinuous" vertical="center"/>
      <protection/>
    </xf>
    <xf numFmtId="0" fontId="124" fillId="39" borderId="30" xfId="0" applyFont="1" applyFill="1" applyBorder="1" applyAlignment="1" applyProtection="1">
      <alignment horizontal="center" vertical="center" wrapText="1"/>
      <protection/>
    </xf>
    <xf numFmtId="0" fontId="124" fillId="39" borderId="31" xfId="0" applyFont="1" applyFill="1" applyBorder="1" applyAlignment="1" applyProtection="1">
      <alignment horizontal="center" vertical="center"/>
      <protection/>
    </xf>
    <xf numFmtId="0" fontId="45" fillId="27" borderId="0" xfId="0" applyFont="1" applyFill="1" applyBorder="1" applyAlignment="1" applyProtection="1">
      <alignment horizontal="center" vertical="center"/>
      <protection/>
    </xf>
    <xf numFmtId="0" fontId="2" fillId="30" borderId="28" xfId="0" applyFont="1" applyFill="1" applyBorder="1" applyAlignment="1" applyProtection="1">
      <alignment horizontal="center" vertical="center"/>
      <protection/>
    </xf>
    <xf numFmtId="0" fontId="2" fillId="30" borderId="29" xfId="0" applyFont="1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 applyProtection="1">
      <alignment horizontal="left" vertical="center"/>
      <protection/>
    </xf>
    <xf numFmtId="173" fontId="19" fillId="42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0" fillId="35" borderId="39" xfId="0" applyFont="1" applyFill="1" applyBorder="1" applyAlignment="1" applyProtection="1">
      <alignment horizontal="center" vertical="center"/>
      <protection/>
    </xf>
    <xf numFmtId="0" fontId="10" fillId="35" borderId="40" xfId="0" applyFont="1" applyFill="1" applyBorder="1" applyAlignment="1" applyProtection="1">
      <alignment horizontal="center" vertical="center"/>
      <protection/>
    </xf>
    <xf numFmtId="0" fontId="10" fillId="35" borderId="41" xfId="0" applyFont="1" applyFill="1" applyBorder="1" applyAlignment="1" applyProtection="1">
      <alignment horizontal="center" vertical="center"/>
      <protection/>
    </xf>
    <xf numFmtId="0" fontId="4" fillId="35" borderId="42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center" vertical="center"/>
      <protection/>
    </xf>
    <xf numFmtId="0" fontId="4" fillId="35" borderId="44" xfId="0" applyFont="1" applyFill="1" applyBorder="1" applyAlignment="1" applyProtection="1">
      <alignment horizontal="center" vertical="center"/>
      <protection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2" fillId="35" borderId="39" xfId="0" applyFont="1" applyFill="1" applyBorder="1" applyAlignment="1" applyProtection="1">
      <alignment horizontal="center" vertical="center"/>
      <protection/>
    </xf>
    <xf numFmtId="0" fontId="12" fillId="35" borderId="40" xfId="0" applyFont="1" applyFill="1" applyBorder="1" applyAlignment="1" applyProtection="1">
      <alignment horizontal="center" vertical="center"/>
      <protection/>
    </xf>
    <xf numFmtId="0" fontId="12" fillId="35" borderId="41" xfId="0" applyFont="1" applyFill="1" applyBorder="1" applyAlignment="1" applyProtection="1">
      <alignment horizontal="center" vertical="center"/>
      <protection/>
    </xf>
    <xf numFmtId="0" fontId="4" fillId="35" borderId="45" xfId="0" applyFont="1" applyFill="1" applyBorder="1" applyAlignment="1" applyProtection="1">
      <alignment horizontal="center" vertical="center"/>
      <protection/>
    </xf>
    <xf numFmtId="0" fontId="39" fillId="35" borderId="43" xfId="0" applyFont="1" applyFill="1" applyBorder="1" applyAlignment="1" applyProtection="1">
      <alignment horizontal="center" vertical="center" wrapText="1"/>
      <protection/>
    </xf>
    <xf numFmtId="0" fontId="124" fillId="39" borderId="46" xfId="0" applyFont="1" applyFill="1" applyBorder="1" applyAlignment="1" applyProtection="1">
      <alignment horizontal="center" vertical="center"/>
      <protection/>
    </xf>
    <xf numFmtId="0" fontId="2" fillId="27" borderId="0" xfId="0" applyFont="1" applyFill="1" applyBorder="1" applyAlignment="1" applyProtection="1">
      <alignment vertical="center"/>
      <protection/>
    </xf>
    <xf numFmtId="0" fontId="130" fillId="36" borderId="0" xfId="0" applyFont="1" applyFill="1" applyAlignment="1" applyProtection="1">
      <alignment horizontal="center" vertical="center"/>
      <protection/>
    </xf>
    <xf numFmtId="0" fontId="128" fillId="34" borderId="0" xfId="0" applyFont="1" applyFill="1" applyAlignment="1" applyProtection="1">
      <alignment horizontal="center" vertical="center"/>
      <protection/>
    </xf>
    <xf numFmtId="0" fontId="131" fillId="36" borderId="0" xfId="0" applyFont="1" applyFill="1" applyAlignment="1" applyProtection="1">
      <alignment horizontal="center" vertical="center"/>
      <protection/>
    </xf>
    <xf numFmtId="0" fontId="2" fillId="30" borderId="14" xfId="0" applyFont="1" applyFill="1" applyBorder="1" applyAlignment="1" applyProtection="1">
      <alignment horizontal="center" vertical="center"/>
      <protection/>
    </xf>
    <xf numFmtId="0" fontId="3" fillId="30" borderId="23" xfId="0" applyFont="1" applyFill="1" applyBorder="1" applyAlignment="1" applyProtection="1" quotePrefix="1">
      <alignment vertical="center"/>
      <protection/>
    </xf>
    <xf numFmtId="0" fontId="3" fillId="30" borderId="19" xfId="0" applyFont="1" applyFill="1" applyBorder="1" applyAlignment="1" applyProtection="1">
      <alignment vertical="center"/>
      <protection/>
    </xf>
    <xf numFmtId="0" fontId="2" fillId="30" borderId="18" xfId="0" applyFont="1" applyFill="1" applyBorder="1" applyAlignment="1" applyProtection="1">
      <alignment horizontal="center" vertical="center"/>
      <protection/>
    </xf>
    <xf numFmtId="0" fontId="3" fillId="30" borderId="0" xfId="0" applyFont="1" applyFill="1" applyBorder="1" applyAlignment="1" applyProtection="1" quotePrefix="1">
      <alignment vertical="center"/>
      <protection/>
    </xf>
    <xf numFmtId="0" fontId="3" fillId="30" borderId="15" xfId="0" applyFont="1" applyFill="1" applyBorder="1" applyAlignment="1" applyProtection="1">
      <alignment vertical="center"/>
      <protection/>
    </xf>
    <xf numFmtId="0" fontId="2" fillId="30" borderId="20" xfId="0" applyFont="1" applyFill="1" applyBorder="1" applyAlignment="1" applyProtection="1">
      <alignment horizontal="center" vertical="center"/>
      <protection/>
    </xf>
    <xf numFmtId="0" fontId="3" fillId="30" borderId="21" xfId="0" applyFont="1" applyFill="1" applyBorder="1" applyAlignment="1" applyProtection="1" quotePrefix="1">
      <alignment vertical="center"/>
      <protection/>
    </xf>
    <xf numFmtId="0" fontId="3" fillId="30" borderId="16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28" fillId="7" borderId="47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vertical="center"/>
    </xf>
    <xf numFmtId="0" fontId="57" fillId="0" borderId="32" xfId="0" applyFont="1" applyFill="1" applyBorder="1" applyAlignment="1">
      <alignment vertical="center"/>
    </xf>
    <xf numFmtId="0" fontId="57" fillId="0" borderId="29" xfId="0" applyFont="1" applyFill="1" applyBorder="1" applyAlignment="1">
      <alignment vertical="center"/>
    </xf>
    <xf numFmtId="0" fontId="132" fillId="0" borderId="28" xfId="0" applyFont="1" applyFill="1" applyBorder="1" applyAlignment="1">
      <alignment horizontal="center" vertical="center"/>
    </xf>
    <xf numFmtId="0" fontId="132" fillId="0" borderId="32" xfId="0" applyFont="1" applyFill="1" applyBorder="1" applyAlignment="1">
      <alignment horizontal="center" vertical="center"/>
    </xf>
    <xf numFmtId="0" fontId="132" fillId="0" borderId="29" xfId="0" applyFont="1" applyFill="1" applyBorder="1" applyAlignment="1">
      <alignment horizontal="center" vertical="center"/>
    </xf>
    <xf numFmtId="0" fontId="132" fillId="0" borderId="0" xfId="0" applyFont="1" applyFill="1" applyBorder="1" applyAlignment="1">
      <alignment horizontal="center" vertical="center"/>
    </xf>
    <xf numFmtId="0" fontId="133" fillId="0" borderId="0" xfId="0" applyFont="1" applyAlignment="1">
      <alignment vertical="center"/>
    </xf>
    <xf numFmtId="0" fontId="57" fillId="44" borderId="32" xfId="0" applyFont="1" applyFill="1" applyBorder="1" applyAlignment="1">
      <alignment vertical="center"/>
    </xf>
    <xf numFmtId="0" fontId="132" fillId="44" borderId="32" xfId="0" applyFont="1" applyFill="1" applyBorder="1" applyAlignment="1">
      <alignment horizontal="center" vertical="center"/>
    </xf>
    <xf numFmtId="0" fontId="2" fillId="45" borderId="47" xfId="0" applyFont="1" applyFill="1" applyBorder="1" applyAlignment="1">
      <alignment horizontal="center" vertical="center" wrapText="1"/>
    </xf>
    <xf numFmtId="0" fontId="2" fillId="45" borderId="3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47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8" fillId="46" borderId="47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" fontId="37" fillId="46" borderId="10" xfId="0" applyNumberFormat="1" applyFont="1" applyFill="1" applyBorder="1" applyAlignment="1" applyProtection="1">
      <alignment horizontal="center" vertical="center"/>
      <protection/>
    </xf>
    <xf numFmtId="1" fontId="19" fillId="47" borderId="10" xfId="0" applyNumberFormat="1" applyFont="1" applyFill="1" applyBorder="1" applyAlignment="1" applyProtection="1">
      <alignment horizontal="center" vertical="center"/>
      <protection/>
    </xf>
    <xf numFmtId="173" fontId="19" fillId="47" borderId="10" xfId="0" applyNumberFormat="1" applyFont="1" applyFill="1" applyBorder="1" applyAlignment="1" applyProtection="1">
      <alignment horizontal="center" vertical="center"/>
      <protection/>
    </xf>
    <xf numFmtId="0" fontId="37" fillId="46" borderId="10" xfId="0" applyFont="1" applyFill="1" applyBorder="1" applyAlignment="1" applyProtection="1">
      <alignment horizontal="center" vertical="center"/>
      <protection/>
    </xf>
    <xf numFmtId="1" fontId="2" fillId="46" borderId="10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4" fillId="36" borderId="0" xfId="0" applyFont="1" applyFill="1" applyAlignment="1" applyProtection="1">
      <alignment horizontal="center" vertical="center"/>
      <protection/>
    </xf>
    <xf numFmtId="0" fontId="135" fillId="36" borderId="0" xfId="0" applyFont="1" applyFill="1" applyAlignment="1" applyProtection="1">
      <alignment horizontal="center" vertical="center"/>
      <protection/>
    </xf>
    <xf numFmtId="0" fontId="22" fillId="36" borderId="0" xfId="0" applyFont="1" applyFill="1" applyAlignment="1" applyProtection="1">
      <alignment horizontal="left" vertical="center"/>
      <protection/>
    </xf>
    <xf numFmtId="0" fontId="136" fillId="36" borderId="0" xfId="0" applyFont="1" applyFill="1" applyAlignment="1" applyProtection="1">
      <alignment vertical="center"/>
      <protection locked="0"/>
    </xf>
    <xf numFmtId="1" fontId="19" fillId="48" borderId="10" xfId="0" applyNumberFormat="1" applyFont="1" applyFill="1" applyBorder="1" applyAlignment="1" applyProtection="1">
      <alignment horizontal="center" vertical="center"/>
      <protection/>
    </xf>
    <xf numFmtId="173" fontId="19" fillId="48" borderId="10" xfId="0" applyNumberFormat="1" applyFont="1" applyFill="1" applyBorder="1" applyAlignment="1" applyProtection="1">
      <alignment horizontal="center" vertical="center"/>
      <protection/>
    </xf>
    <xf numFmtId="1" fontId="38" fillId="48" borderId="10" xfId="0" applyNumberFormat="1" applyFont="1" applyFill="1" applyBorder="1" applyAlignment="1" applyProtection="1">
      <alignment horizontal="center" vertical="center"/>
      <protection/>
    </xf>
    <xf numFmtId="0" fontId="19" fillId="48" borderId="10" xfId="0" applyNumberFormat="1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54" fillId="46" borderId="47" xfId="0" applyFont="1" applyFill="1" applyBorder="1" applyAlignment="1" applyProtection="1">
      <alignment horizontal="center" vertical="center"/>
      <protection/>
    </xf>
    <xf numFmtId="0" fontId="54" fillId="46" borderId="14" xfId="0" applyFont="1" applyFill="1" applyBorder="1" applyAlignment="1">
      <alignment horizontal="center" vertical="center"/>
    </xf>
    <xf numFmtId="0" fontId="54" fillId="46" borderId="23" xfId="0" applyFont="1" applyFill="1" applyBorder="1" applyAlignment="1">
      <alignment horizontal="center" vertical="center"/>
    </xf>
    <xf numFmtId="0" fontId="54" fillId="46" borderId="19" xfId="0" applyFont="1" applyFill="1" applyBorder="1" applyAlignment="1">
      <alignment horizontal="center" vertical="center"/>
    </xf>
    <xf numFmtId="0" fontId="137" fillId="27" borderId="0" xfId="0" applyFont="1" applyFill="1" applyBorder="1" applyAlignment="1" applyProtection="1">
      <alignment horizontal="center" vertical="center"/>
      <protection/>
    </xf>
    <xf numFmtId="0" fontId="20" fillId="27" borderId="14" xfId="0" applyFont="1" applyFill="1" applyBorder="1" applyAlignment="1" applyProtection="1">
      <alignment horizontal="center" vertical="center"/>
      <protection/>
    </xf>
    <xf numFmtId="0" fontId="20" fillId="27" borderId="23" xfId="0" applyFont="1" applyFill="1" applyBorder="1" applyAlignment="1" applyProtection="1">
      <alignment horizontal="center" vertical="center"/>
      <protection/>
    </xf>
    <xf numFmtId="0" fontId="20" fillId="27" borderId="19" xfId="0" applyFont="1" applyFill="1" applyBorder="1" applyAlignment="1" applyProtection="1">
      <alignment horizontal="center" vertical="center"/>
      <protection/>
    </xf>
    <xf numFmtId="0" fontId="20" fillId="27" borderId="20" xfId="0" applyFont="1" applyFill="1" applyBorder="1" applyAlignment="1" applyProtection="1">
      <alignment horizontal="center" vertical="center"/>
      <protection/>
    </xf>
    <xf numFmtId="0" fontId="20" fillId="27" borderId="21" xfId="0" applyFont="1" applyFill="1" applyBorder="1" applyAlignment="1" applyProtection="1">
      <alignment horizontal="center" vertical="center"/>
      <protection/>
    </xf>
    <xf numFmtId="0" fontId="20" fillId="27" borderId="16" xfId="0" applyFont="1" applyFill="1" applyBorder="1" applyAlignment="1" applyProtection="1">
      <alignment horizontal="center" vertical="center"/>
      <protection/>
    </xf>
    <xf numFmtId="0" fontId="45" fillId="37" borderId="26" xfId="0" applyFont="1" applyFill="1" applyBorder="1" applyAlignment="1" applyProtection="1">
      <alignment horizontal="center" vertical="center"/>
      <protection locked="0"/>
    </xf>
    <xf numFmtId="0" fontId="45" fillId="37" borderId="48" xfId="0" applyFont="1" applyFill="1" applyBorder="1" applyAlignment="1" applyProtection="1">
      <alignment horizontal="center" vertical="center"/>
      <protection locked="0"/>
    </xf>
    <xf numFmtId="0" fontId="45" fillId="37" borderId="49" xfId="0" applyFont="1" applyFill="1" applyBorder="1" applyAlignment="1" applyProtection="1">
      <alignment horizontal="center" vertical="center"/>
      <protection locked="0"/>
    </xf>
    <xf numFmtId="0" fontId="18" fillId="0" borderId="50" xfId="0" applyFont="1" applyFill="1" applyBorder="1" applyAlignment="1" applyProtection="1">
      <alignment horizontal="center" vertical="center"/>
      <protection/>
    </xf>
    <xf numFmtId="0" fontId="18" fillId="0" borderId="51" xfId="0" applyFont="1" applyFill="1" applyBorder="1" applyAlignment="1" applyProtection="1">
      <alignment horizontal="center" vertical="center"/>
      <protection/>
    </xf>
    <xf numFmtId="0" fontId="18" fillId="0" borderId="52" xfId="0" applyFont="1" applyFill="1" applyBorder="1" applyAlignment="1" applyProtection="1">
      <alignment horizontal="center" vertical="center"/>
      <protection/>
    </xf>
    <xf numFmtId="0" fontId="51" fillId="46" borderId="0" xfId="0" applyFont="1" applyFill="1" applyBorder="1" applyAlignment="1" applyProtection="1">
      <alignment horizontal="center" vertical="center"/>
      <protection/>
    </xf>
    <xf numFmtId="0" fontId="138" fillId="34" borderId="0" xfId="0" applyFont="1" applyFill="1" applyAlignment="1" applyProtection="1">
      <alignment horizontal="center" vertical="center"/>
      <protection/>
    </xf>
    <xf numFmtId="0" fontId="28" fillId="46" borderId="0" xfId="0" applyFont="1" applyFill="1" applyBorder="1" applyAlignment="1" applyProtection="1">
      <alignment horizontal="center" vertical="center"/>
      <protection/>
    </xf>
    <xf numFmtId="0" fontId="20" fillId="49" borderId="53" xfId="44" applyFont="1" applyFill="1" applyBorder="1" applyAlignment="1" applyProtection="1">
      <alignment horizontal="center" vertical="center"/>
      <protection locked="0"/>
    </xf>
    <xf numFmtId="0" fontId="20" fillId="50" borderId="54" xfId="44" applyFont="1" applyFill="1" applyBorder="1" applyAlignment="1" applyProtection="1">
      <alignment horizontal="center" vertical="center"/>
      <protection locked="0"/>
    </xf>
    <xf numFmtId="0" fontId="20" fillId="51" borderId="55" xfId="44" applyFont="1" applyFill="1" applyBorder="1" applyAlignment="1" applyProtection="1">
      <alignment horizontal="center" vertical="center"/>
      <protection locked="0"/>
    </xf>
    <xf numFmtId="0" fontId="20" fillId="52" borderId="56" xfId="44" applyFont="1" applyFill="1" applyBorder="1" applyAlignment="1" applyProtection="1">
      <alignment horizontal="center" vertical="center"/>
      <protection locked="0"/>
    </xf>
    <xf numFmtId="0" fontId="20" fillId="53" borderId="57" xfId="44" applyFont="1" applyFill="1" applyBorder="1" applyAlignment="1" applyProtection="1">
      <alignment horizontal="center" vertical="center"/>
      <protection locked="0"/>
    </xf>
    <xf numFmtId="0" fontId="20" fillId="54" borderId="58" xfId="44" applyFont="1" applyFill="1" applyBorder="1" applyAlignment="1" applyProtection="1">
      <alignment horizontal="center" vertical="center"/>
      <protection locked="0"/>
    </xf>
    <xf numFmtId="0" fontId="57" fillId="27" borderId="18" xfId="0" applyFont="1" applyFill="1" applyBorder="1" applyAlignment="1" applyProtection="1">
      <alignment horizontal="center" vertical="center" wrapText="1"/>
      <protection/>
    </xf>
    <xf numFmtId="0" fontId="57" fillId="27" borderId="0" xfId="0" applyFont="1" applyFill="1" applyBorder="1" applyAlignment="1" applyProtection="1">
      <alignment horizontal="center" vertical="center" wrapText="1"/>
      <protection/>
    </xf>
    <xf numFmtId="0" fontId="57" fillId="27" borderId="15" xfId="0" applyFont="1" applyFill="1" applyBorder="1" applyAlignment="1" applyProtection="1">
      <alignment horizontal="center" vertical="center" wrapText="1"/>
      <protection/>
    </xf>
    <xf numFmtId="0" fontId="139" fillId="27" borderId="14" xfId="0" applyFont="1" applyFill="1" applyBorder="1" applyAlignment="1" applyProtection="1">
      <alignment horizontal="center" vertical="center" wrapText="1"/>
      <protection/>
    </xf>
    <xf numFmtId="0" fontId="139" fillId="27" borderId="23" xfId="0" applyFont="1" applyFill="1" applyBorder="1" applyAlignment="1" applyProtection="1">
      <alignment horizontal="center" vertical="center" wrapText="1"/>
      <protection/>
    </xf>
    <xf numFmtId="0" fontId="139" fillId="27" borderId="19" xfId="0" applyFont="1" applyFill="1" applyBorder="1" applyAlignment="1" applyProtection="1">
      <alignment horizontal="center" vertical="center" wrapText="1"/>
      <protection/>
    </xf>
    <xf numFmtId="0" fontId="57" fillId="27" borderId="25" xfId="0" applyFont="1" applyFill="1" applyBorder="1" applyAlignment="1" applyProtection="1">
      <alignment horizontal="center" vertical="center" wrapText="1"/>
      <protection/>
    </xf>
    <xf numFmtId="0" fontId="57" fillId="27" borderId="24" xfId="0" applyFont="1" applyFill="1" applyBorder="1" applyAlignment="1" applyProtection="1">
      <alignment horizontal="center" vertical="center" wrapText="1"/>
      <protection/>
    </xf>
    <xf numFmtId="0" fontId="57" fillId="27" borderId="22" xfId="0" applyFont="1" applyFill="1" applyBorder="1" applyAlignment="1" applyProtection="1">
      <alignment horizontal="center" vertical="center" wrapText="1"/>
      <protection/>
    </xf>
    <xf numFmtId="0" fontId="140" fillId="34" borderId="0" xfId="0" applyFont="1" applyFill="1" applyBorder="1" applyAlignment="1" applyProtection="1">
      <alignment horizontal="center"/>
      <protection/>
    </xf>
    <xf numFmtId="0" fontId="140" fillId="34" borderId="0" xfId="0" applyFont="1" applyFill="1" applyBorder="1" applyAlignment="1" applyProtection="1">
      <alignment horizontal="center" vertical="top"/>
      <protection/>
    </xf>
    <xf numFmtId="0" fontId="2" fillId="27" borderId="59" xfId="0" applyFont="1" applyFill="1" applyBorder="1" applyAlignment="1" applyProtection="1">
      <alignment horizontal="center" vertical="center"/>
      <protection/>
    </xf>
    <xf numFmtId="0" fontId="2" fillId="27" borderId="60" xfId="0" applyFont="1" applyFill="1" applyBorder="1" applyAlignment="1" applyProtection="1">
      <alignment horizontal="center" vertical="center"/>
      <protection/>
    </xf>
    <xf numFmtId="0" fontId="28" fillId="37" borderId="0" xfId="0" applyFont="1" applyFill="1" applyAlignment="1" applyProtection="1">
      <alignment horizontal="center" vertical="center" wrapText="1"/>
      <protection/>
    </xf>
    <xf numFmtId="0" fontId="57" fillId="27" borderId="23" xfId="0" applyFont="1" applyFill="1" applyBorder="1" applyAlignment="1" applyProtection="1">
      <alignment horizontal="center" vertical="center" wrapText="1"/>
      <protection/>
    </xf>
    <xf numFmtId="0" fontId="57" fillId="27" borderId="19" xfId="0" applyFont="1" applyFill="1" applyBorder="1" applyAlignment="1" applyProtection="1">
      <alignment horizontal="center" vertical="center" wrapText="1"/>
      <protection/>
    </xf>
    <xf numFmtId="0" fontId="46" fillId="27" borderId="20" xfId="0" applyFont="1" applyFill="1" applyBorder="1" applyAlignment="1" applyProtection="1">
      <alignment horizontal="center" vertical="center" wrapText="1"/>
      <protection/>
    </xf>
    <xf numFmtId="0" fontId="141" fillId="27" borderId="21" xfId="0" applyFont="1" applyFill="1" applyBorder="1" applyAlignment="1" applyProtection="1">
      <alignment horizontal="center" vertical="center" wrapText="1"/>
      <protection/>
    </xf>
    <xf numFmtId="0" fontId="141" fillId="27" borderId="16" xfId="0" applyFont="1" applyFill="1" applyBorder="1" applyAlignment="1" applyProtection="1">
      <alignment horizontal="center" vertical="center" wrapText="1"/>
      <protection/>
    </xf>
    <xf numFmtId="0" fontId="28" fillId="30" borderId="25" xfId="0" applyFont="1" applyFill="1" applyBorder="1" applyAlignment="1" applyProtection="1">
      <alignment horizontal="center" vertical="center"/>
      <protection/>
    </xf>
    <xf numFmtId="0" fontId="28" fillId="30" borderId="24" xfId="0" applyFont="1" applyFill="1" applyBorder="1" applyAlignment="1" applyProtection="1">
      <alignment horizontal="center" vertical="center"/>
      <protection/>
    </xf>
    <xf numFmtId="0" fontId="28" fillId="30" borderId="22" xfId="0" applyFont="1" applyFill="1" applyBorder="1" applyAlignment="1" applyProtection="1">
      <alignment horizontal="center" vertical="center"/>
      <protection/>
    </xf>
    <xf numFmtId="0" fontId="45" fillId="27" borderId="0" xfId="0" applyFont="1" applyFill="1" applyBorder="1" applyAlignment="1" applyProtection="1">
      <alignment horizontal="center" vertical="center" wrapText="1"/>
      <protection/>
    </xf>
    <xf numFmtId="0" fontId="29" fillId="30" borderId="14" xfId="0" applyFont="1" applyFill="1" applyBorder="1" applyAlignment="1" applyProtection="1">
      <alignment horizontal="center" vertical="center" wrapText="1"/>
      <protection/>
    </xf>
    <xf numFmtId="0" fontId="29" fillId="30" borderId="20" xfId="0" applyFont="1" applyFill="1" applyBorder="1" applyAlignment="1" applyProtection="1">
      <alignment horizontal="center" vertical="center" wrapText="1"/>
      <protection/>
    </xf>
    <xf numFmtId="14" fontId="28" fillId="30" borderId="18" xfId="0" applyNumberFormat="1" applyFont="1" applyFill="1" applyBorder="1" applyAlignment="1" applyProtection="1">
      <alignment horizontal="center" vertical="center"/>
      <protection/>
    </xf>
    <xf numFmtId="14" fontId="28" fillId="30" borderId="0" xfId="0" applyNumberFormat="1" applyFont="1" applyFill="1" applyBorder="1" applyAlignment="1" applyProtection="1">
      <alignment horizontal="center" vertical="center"/>
      <protection/>
    </xf>
    <xf numFmtId="14" fontId="28" fillId="30" borderId="15" xfId="0" applyNumberFormat="1" applyFont="1" applyFill="1" applyBorder="1" applyAlignment="1" applyProtection="1">
      <alignment horizontal="center" vertical="center"/>
      <protection/>
    </xf>
    <xf numFmtId="0" fontId="23" fillId="30" borderId="47" xfId="0" applyFont="1" applyFill="1" applyBorder="1" applyAlignment="1" applyProtection="1">
      <alignment horizontal="center" vertical="center" wrapText="1"/>
      <protection/>
    </xf>
    <xf numFmtId="0" fontId="23" fillId="30" borderId="17" xfId="0" applyFont="1" applyFill="1" applyBorder="1" applyAlignment="1" applyProtection="1">
      <alignment horizontal="center" vertical="center" wrapText="1"/>
      <protection/>
    </xf>
    <xf numFmtId="0" fontId="23" fillId="30" borderId="12" xfId="0" applyFont="1" applyFill="1" applyBorder="1" applyAlignment="1" applyProtection="1">
      <alignment horizontal="center" vertical="center" wrapText="1"/>
      <protection/>
    </xf>
    <xf numFmtId="0" fontId="28" fillId="30" borderId="18" xfId="0" applyFont="1" applyFill="1" applyBorder="1" applyAlignment="1" applyProtection="1">
      <alignment horizontal="center" vertical="center"/>
      <protection/>
    </xf>
    <xf numFmtId="0" fontId="28" fillId="30" borderId="0" xfId="0" applyFont="1" applyFill="1" applyBorder="1" applyAlignment="1" applyProtection="1">
      <alignment horizontal="center" vertical="center"/>
      <protection/>
    </xf>
    <xf numFmtId="0" fontId="28" fillId="30" borderId="15" xfId="0" applyFont="1" applyFill="1" applyBorder="1" applyAlignment="1" applyProtection="1">
      <alignment horizontal="center" vertical="center"/>
      <protection/>
    </xf>
    <xf numFmtId="0" fontId="45" fillId="27" borderId="0" xfId="0" applyFont="1" applyFill="1" applyBorder="1" applyAlignment="1" applyProtection="1">
      <alignment horizontal="center" vertical="center"/>
      <protection/>
    </xf>
    <xf numFmtId="0" fontId="55" fillId="30" borderId="25" xfId="0" applyFont="1" applyFill="1" applyBorder="1" applyAlignment="1" applyProtection="1">
      <alignment horizontal="center" vertical="center"/>
      <protection/>
    </xf>
    <xf numFmtId="0" fontId="55" fillId="30" borderId="24" xfId="0" applyFont="1" applyFill="1" applyBorder="1" applyAlignment="1" applyProtection="1">
      <alignment horizontal="center" vertical="center"/>
      <protection/>
    </xf>
    <xf numFmtId="0" fontId="55" fillId="30" borderId="22" xfId="0" applyFont="1" applyFill="1" applyBorder="1" applyAlignment="1" applyProtection="1">
      <alignment horizontal="center" vertical="center"/>
      <protection/>
    </xf>
    <xf numFmtId="0" fontId="50" fillId="30" borderId="14" xfId="0" applyFont="1" applyFill="1" applyBorder="1" applyAlignment="1" applyProtection="1">
      <alignment horizontal="center" vertical="center"/>
      <protection/>
    </xf>
    <xf numFmtId="0" fontId="50" fillId="30" borderId="23" xfId="0" applyFont="1" applyFill="1" applyBorder="1" applyAlignment="1" applyProtection="1">
      <alignment horizontal="center" vertical="center"/>
      <protection/>
    </xf>
    <xf numFmtId="0" fontId="50" fillId="30" borderId="19" xfId="0" applyFont="1" applyFill="1" applyBorder="1" applyAlignment="1" applyProtection="1">
      <alignment horizontal="center" vertical="center"/>
      <protection/>
    </xf>
    <xf numFmtId="0" fontId="28" fillId="30" borderId="20" xfId="0" applyFont="1" applyFill="1" applyBorder="1" applyAlignment="1" applyProtection="1">
      <alignment horizontal="center" vertical="center"/>
      <protection/>
    </xf>
    <xf numFmtId="0" fontId="28" fillId="30" borderId="21" xfId="0" applyFont="1" applyFill="1" applyBorder="1" applyAlignment="1" applyProtection="1">
      <alignment horizontal="center" vertical="center"/>
      <protection/>
    </xf>
    <xf numFmtId="0" fontId="28" fillId="30" borderId="16" xfId="0" applyFont="1" applyFill="1" applyBorder="1" applyAlignment="1" applyProtection="1">
      <alignment horizontal="center" vertical="center"/>
      <protection/>
    </xf>
    <xf numFmtId="0" fontId="50" fillId="30" borderId="18" xfId="0" applyFont="1" applyFill="1" applyBorder="1" applyAlignment="1" applyProtection="1">
      <alignment horizontal="center" vertical="center"/>
      <protection/>
    </xf>
    <xf numFmtId="0" fontId="50" fillId="30" borderId="0" xfId="0" applyFont="1" applyFill="1" applyBorder="1" applyAlignment="1" applyProtection="1">
      <alignment horizontal="center" vertical="center"/>
      <protection/>
    </xf>
    <xf numFmtId="0" fontId="50" fillId="30" borderId="15" xfId="0" applyFont="1" applyFill="1" applyBorder="1" applyAlignment="1" applyProtection="1">
      <alignment horizontal="center" vertical="center"/>
      <protection/>
    </xf>
    <xf numFmtId="0" fontId="45" fillId="27" borderId="0" xfId="0" applyFont="1" applyFill="1" applyAlignment="1" applyProtection="1">
      <alignment horizontal="center" vertical="center"/>
      <protection/>
    </xf>
    <xf numFmtId="0" fontId="17" fillId="36" borderId="18" xfId="0" applyFont="1" applyFill="1" applyBorder="1" applyAlignment="1" applyProtection="1">
      <alignment horizontal="center" vertical="center"/>
      <protection/>
    </xf>
    <xf numFmtId="0" fontId="17" fillId="36" borderId="0" xfId="0" applyFont="1" applyFill="1" applyAlignment="1" applyProtection="1">
      <alignment horizontal="center" vertical="center"/>
      <protection/>
    </xf>
    <xf numFmtId="0" fontId="142" fillId="34" borderId="0" xfId="0" applyFont="1" applyFill="1" applyAlignment="1" applyProtection="1">
      <alignment horizontal="center" vertical="center"/>
      <protection/>
    </xf>
    <xf numFmtId="0" fontId="52" fillId="36" borderId="0" xfId="0" applyFont="1" applyFill="1" applyBorder="1" applyAlignment="1" applyProtection="1">
      <alignment horizontal="center" vertical="center"/>
      <protection/>
    </xf>
    <xf numFmtId="0" fontId="23" fillId="7" borderId="61" xfId="0" applyFont="1" applyFill="1" applyBorder="1" applyAlignment="1" applyProtection="1">
      <alignment horizontal="center" vertical="center"/>
      <protection/>
    </xf>
    <xf numFmtId="0" fontId="23" fillId="7" borderId="62" xfId="0" applyFont="1" applyFill="1" applyBorder="1" applyAlignment="1" applyProtection="1">
      <alignment horizontal="center" vertical="center"/>
      <protection/>
    </xf>
    <xf numFmtId="0" fontId="23" fillId="7" borderId="63" xfId="0" applyFont="1" applyFill="1" applyBorder="1" applyAlignment="1" applyProtection="1">
      <alignment horizontal="center" vertical="center"/>
      <protection/>
    </xf>
    <xf numFmtId="0" fontId="23" fillId="7" borderId="64" xfId="0" applyFont="1" applyFill="1" applyBorder="1" applyAlignment="1" applyProtection="1">
      <alignment horizontal="center" vertical="center"/>
      <protection/>
    </xf>
    <xf numFmtId="0" fontId="143" fillId="34" borderId="0" xfId="0" applyFont="1" applyFill="1" applyAlignment="1" applyProtection="1">
      <alignment horizontal="right"/>
      <protection/>
    </xf>
    <xf numFmtId="0" fontId="144" fillId="34" borderId="0" xfId="0" applyFont="1" applyFill="1" applyBorder="1" applyAlignment="1" applyProtection="1">
      <alignment horizontal="right"/>
      <protection/>
    </xf>
    <xf numFmtId="0" fontId="144" fillId="34" borderId="0" xfId="0" applyFont="1" applyFill="1" applyAlignment="1" applyProtection="1">
      <alignment horizontal="right"/>
      <protection/>
    </xf>
    <xf numFmtId="0" fontId="143" fillId="34" borderId="0" xfId="0" applyFont="1" applyFill="1" applyBorder="1" applyAlignment="1" applyProtection="1">
      <alignment horizontal="right"/>
      <protection/>
    </xf>
    <xf numFmtId="0" fontId="52" fillId="36" borderId="18" xfId="0" applyFont="1" applyFill="1" applyBorder="1" applyAlignment="1" applyProtection="1">
      <alignment horizontal="center" vertical="center"/>
      <protection/>
    </xf>
    <xf numFmtId="0" fontId="52" fillId="36" borderId="0" xfId="0" applyFont="1" applyFill="1" applyAlignment="1" applyProtection="1">
      <alignment horizontal="center" vertical="center"/>
      <protection/>
    </xf>
    <xf numFmtId="0" fontId="56" fillId="34" borderId="0" xfId="0" applyFont="1" applyFill="1" applyBorder="1" applyAlignment="1" applyProtection="1">
      <alignment horizontal="center" vertical="center"/>
      <protection/>
    </xf>
    <xf numFmtId="0" fontId="54" fillId="30" borderId="14" xfId="0" applyFont="1" applyFill="1" applyBorder="1" applyAlignment="1" applyProtection="1">
      <alignment horizontal="center" vertical="center" textRotation="90"/>
      <protection/>
    </xf>
    <xf numFmtId="0" fontId="54" fillId="30" borderId="20" xfId="0" applyFont="1" applyFill="1" applyBorder="1" applyAlignment="1" applyProtection="1">
      <alignment horizontal="center" vertical="center" textRotation="90"/>
      <protection/>
    </xf>
    <xf numFmtId="16" fontId="54" fillId="30" borderId="47" xfId="0" applyNumberFormat="1" applyFont="1" applyFill="1" applyBorder="1" applyAlignment="1" applyProtection="1" quotePrefix="1">
      <alignment horizontal="center" vertical="center" wrapText="1"/>
      <protection hidden="1"/>
    </xf>
    <xf numFmtId="0" fontId="54" fillId="30" borderId="12" xfId="0" applyFont="1" applyFill="1" applyBorder="1" applyAlignment="1" applyProtection="1">
      <alignment horizontal="center" vertical="center" wrapText="1"/>
      <protection hidden="1"/>
    </xf>
    <xf numFmtId="0" fontId="54" fillId="30" borderId="19" xfId="0" applyNumberFormat="1" applyFont="1" applyFill="1" applyBorder="1" applyAlignment="1" applyProtection="1" quotePrefix="1">
      <alignment horizontal="center" vertical="center" wrapText="1"/>
      <protection hidden="1"/>
    </xf>
    <xf numFmtId="0" fontId="54" fillId="30" borderId="16" xfId="0" applyNumberFormat="1" applyFont="1" applyFill="1" applyBorder="1" applyAlignment="1" applyProtection="1">
      <alignment horizontal="center" vertical="center" wrapText="1"/>
      <protection hidden="1"/>
    </xf>
    <xf numFmtId="0" fontId="54" fillId="30" borderId="19" xfId="0" applyFont="1" applyFill="1" applyBorder="1" applyAlignment="1" applyProtection="1" quotePrefix="1">
      <alignment horizontal="center" vertical="center" wrapText="1"/>
      <protection hidden="1"/>
    </xf>
    <xf numFmtId="0" fontId="54" fillId="30" borderId="16" xfId="0" applyFont="1" applyFill="1" applyBorder="1" applyAlignment="1" applyProtection="1">
      <alignment horizontal="center" vertical="center" wrapText="1"/>
      <protection hidden="1"/>
    </xf>
    <xf numFmtId="0" fontId="29" fillId="30" borderId="47" xfId="0" applyFont="1" applyFill="1" applyBorder="1" applyAlignment="1" applyProtection="1">
      <alignment horizontal="center" vertical="center" textRotation="90"/>
      <protection/>
    </xf>
    <xf numFmtId="0" fontId="29" fillId="30" borderId="17" xfId="0" applyFont="1" applyFill="1" applyBorder="1" applyAlignment="1" applyProtection="1">
      <alignment horizontal="center" vertical="center" textRotation="90"/>
      <protection/>
    </xf>
    <xf numFmtId="0" fontId="29" fillId="30" borderId="12" xfId="0" applyFont="1" applyFill="1" applyBorder="1" applyAlignment="1" applyProtection="1">
      <alignment horizontal="center" vertical="center" textRotation="90"/>
      <protection/>
    </xf>
    <xf numFmtId="0" fontId="54" fillId="30" borderId="14" xfId="0" applyFont="1" applyFill="1" applyBorder="1" applyAlignment="1" applyProtection="1">
      <alignment horizontal="center" vertical="center" wrapText="1"/>
      <protection hidden="1"/>
    </xf>
    <xf numFmtId="0" fontId="54" fillId="30" borderId="20" xfId="0" applyFont="1" applyFill="1" applyBorder="1" applyAlignment="1" applyProtection="1">
      <alignment horizontal="center" vertical="center" wrapText="1"/>
      <protection hidden="1"/>
    </xf>
    <xf numFmtId="0" fontId="54" fillId="30" borderId="65" xfId="0" applyFont="1" applyFill="1" applyBorder="1" applyAlignment="1" applyProtection="1">
      <alignment horizontal="center" vertical="center" wrapText="1"/>
      <protection hidden="1"/>
    </xf>
    <xf numFmtId="0" fontId="54" fillId="30" borderId="66" xfId="0" applyFont="1" applyFill="1" applyBorder="1" applyAlignment="1" applyProtection="1">
      <alignment horizontal="center" vertical="center" wrapText="1"/>
      <protection hidden="1"/>
    </xf>
    <xf numFmtId="0" fontId="54" fillId="30" borderId="47" xfId="0" applyFont="1" applyFill="1" applyBorder="1" applyAlignment="1" applyProtection="1" quotePrefix="1">
      <alignment horizontal="center" vertical="center" wrapText="1"/>
      <protection hidden="1"/>
    </xf>
    <xf numFmtId="0" fontId="124" fillId="55" borderId="21" xfId="0" applyFont="1" applyFill="1" applyBorder="1" applyAlignment="1" applyProtection="1">
      <alignment horizontal="center" vertical="center"/>
      <protection/>
    </xf>
    <xf numFmtId="0" fontId="25" fillId="37" borderId="0" xfId="0" applyFont="1" applyFill="1" applyBorder="1" applyAlignment="1" applyProtection="1">
      <alignment horizontal="center" vertical="center"/>
      <protection/>
    </xf>
    <xf numFmtId="0" fontId="25" fillId="37" borderId="15" xfId="0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25" fillId="37" borderId="0" xfId="0" applyFont="1" applyFill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43" fillId="4" borderId="67" xfId="0" applyFont="1" applyFill="1" applyBorder="1" applyAlignment="1" applyProtection="1">
      <alignment horizontal="center" vertical="center"/>
      <protection/>
    </xf>
    <xf numFmtId="0" fontId="43" fillId="4" borderId="68" xfId="0" applyFont="1" applyFill="1" applyBorder="1" applyAlignment="1" applyProtection="1">
      <alignment horizontal="center" vertical="center"/>
      <protection/>
    </xf>
    <xf numFmtId="0" fontId="43" fillId="4" borderId="69" xfId="0" applyFont="1" applyFill="1" applyBorder="1" applyAlignment="1" applyProtection="1">
      <alignment horizontal="center" vertical="center"/>
      <protection/>
    </xf>
    <xf numFmtId="0" fontId="44" fillId="4" borderId="70" xfId="0" applyFont="1" applyFill="1" applyBorder="1" applyAlignment="1" applyProtection="1">
      <alignment horizontal="center" vertical="center"/>
      <protection/>
    </xf>
    <xf numFmtId="0" fontId="44" fillId="4" borderId="71" xfId="0" applyFont="1" applyFill="1" applyBorder="1" applyAlignment="1" applyProtection="1">
      <alignment horizontal="center" vertical="center"/>
      <protection/>
    </xf>
    <xf numFmtId="0" fontId="44" fillId="4" borderId="7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6" fillId="0" borderId="18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75" fontId="2" fillId="0" borderId="0" xfId="0" applyNumberFormat="1" applyFont="1" applyAlignment="1" applyProtection="1">
      <alignment horizontal="center" vertical="center"/>
      <protection/>
    </xf>
    <xf numFmtId="0" fontId="50" fillId="0" borderId="0" xfId="0" applyFont="1" applyAlignment="1">
      <alignment horizontal="right" vertical="center"/>
    </xf>
    <xf numFmtId="0" fontId="145" fillId="0" borderId="0" xfId="0" applyFont="1" applyAlignment="1">
      <alignment horizontal="left" vertical="center"/>
    </xf>
    <xf numFmtId="0" fontId="54" fillId="7" borderId="25" xfId="0" applyFont="1" applyFill="1" applyBorder="1" applyAlignment="1">
      <alignment horizontal="center" vertical="center"/>
    </xf>
    <xf numFmtId="0" fontId="54" fillId="7" borderId="24" xfId="0" applyFont="1" applyFill="1" applyBorder="1" applyAlignment="1">
      <alignment horizontal="center" vertical="center"/>
    </xf>
    <xf numFmtId="0" fontId="54" fillId="7" borderId="22" xfId="0" applyFont="1" applyFill="1" applyBorder="1" applyAlignment="1">
      <alignment horizontal="center" vertical="center"/>
    </xf>
    <xf numFmtId="0" fontId="23" fillId="46" borderId="73" xfId="0" applyFont="1" applyFill="1" applyBorder="1" applyAlignment="1">
      <alignment horizontal="center" vertical="center"/>
    </xf>
    <xf numFmtId="0" fontId="23" fillId="46" borderId="74" xfId="0" applyFont="1" applyFill="1" applyBorder="1" applyAlignment="1">
      <alignment horizontal="center" vertical="center"/>
    </xf>
    <xf numFmtId="0" fontId="23" fillId="46" borderId="75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14" fontId="145" fillId="0" borderId="0" xfId="0" applyNumberFormat="1" applyFont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rgb="FFFF0000"/>
      </font>
      <fill>
        <patternFill>
          <bgColor rgb="FF00FFFF"/>
        </patternFill>
      </fill>
    </dxf>
    <dxf>
      <font>
        <b/>
        <i val="0"/>
        <color rgb="FFFF3300"/>
      </font>
    </dxf>
    <dxf>
      <font>
        <b/>
        <i val="0"/>
        <color rgb="FFFF3300"/>
      </font>
      <border/>
    </dxf>
    <dxf>
      <font>
        <color rgb="FFFF0000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hase finale'!A1" /><Relationship Id="rId2" Type="http://schemas.openxmlformats.org/officeDocument/2006/relationships/hyperlink" Target="#Participant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82</xdr:row>
      <xdr:rowOff>142875</xdr:rowOff>
    </xdr:from>
    <xdr:to>
      <xdr:col>12</xdr:col>
      <xdr:colOff>285750</xdr:colOff>
      <xdr:row>94</xdr:row>
      <xdr:rowOff>133350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3267075" y="13373100"/>
          <a:ext cx="2924175" cy="1752600"/>
        </a:xfrm>
        <a:prstGeom prst="rect">
          <a:avLst/>
        </a:prstGeom>
        <a:solidFill>
          <a:srgbClr val="DCE6F2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IMPRESSION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Assurez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-vous 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contenu de cette page vous convient,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faites un aperçu avant impression afin de vérifier les règlages proposés (l'aperçu ne doit être composé que de 2 pages imprimables).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Imprimez le document !</a:t>
          </a:r>
        </a:p>
      </xdr:txBody>
    </xdr:sp>
    <xdr:clientData fPrintsWithSheet="0"/>
  </xdr:twoCellAnchor>
  <xdr:twoCellAnchor>
    <xdr:from>
      <xdr:col>0</xdr:col>
      <xdr:colOff>66675</xdr:colOff>
      <xdr:row>4</xdr:row>
      <xdr:rowOff>95250</xdr:rowOff>
    </xdr:from>
    <xdr:to>
      <xdr:col>1</xdr:col>
      <xdr:colOff>95250</xdr:colOff>
      <xdr:row>6</xdr:row>
      <xdr:rowOff>0</xdr:rowOff>
    </xdr:to>
    <xdr:sp>
      <xdr:nvSpPr>
        <xdr:cNvPr id="2" name="Plaque 2">
          <a:hlinkClick r:id="rId1"/>
        </xdr:cNvPr>
        <xdr:cNvSpPr>
          <a:spLocks/>
        </xdr:cNvSpPr>
      </xdr:nvSpPr>
      <xdr:spPr>
        <a:xfrm>
          <a:off x="66675" y="1085850"/>
          <a:ext cx="1190625" cy="304800"/>
        </a:xfrm>
        <a:prstGeom prst="bevel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Phase Finale</a:t>
          </a:r>
        </a:p>
      </xdr:txBody>
    </xdr:sp>
    <xdr:clientData fPrintsWithSheet="0"/>
  </xdr:twoCellAnchor>
  <xdr:twoCellAnchor>
    <xdr:from>
      <xdr:col>0</xdr:col>
      <xdr:colOff>57150</xdr:colOff>
      <xdr:row>7</xdr:row>
      <xdr:rowOff>0</xdr:rowOff>
    </xdr:from>
    <xdr:to>
      <xdr:col>1</xdr:col>
      <xdr:colOff>85725</xdr:colOff>
      <xdr:row>8</xdr:row>
      <xdr:rowOff>104775</xdr:rowOff>
    </xdr:to>
    <xdr:sp>
      <xdr:nvSpPr>
        <xdr:cNvPr id="3" name="Plaque 3">
          <a:hlinkClick r:id="rId2"/>
        </xdr:cNvPr>
        <xdr:cNvSpPr>
          <a:spLocks/>
        </xdr:cNvSpPr>
      </xdr:nvSpPr>
      <xdr:spPr>
        <a:xfrm>
          <a:off x="57150" y="1524000"/>
          <a:ext cx="1190625" cy="304800"/>
        </a:xfrm>
        <a:prstGeom prst="bevel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Participants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P617"/>
  <sheetViews>
    <sheetView zoomScalePageLayoutView="0" workbookViewId="0" topLeftCell="A300">
      <selection activeCell="K479" sqref="K479"/>
    </sheetView>
  </sheetViews>
  <sheetFormatPr defaultColWidth="12" defaultRowHeight="12.75"/>
  <cols>
    <col min="1" max="1" width="17.16015625" style="237" customWidth="1"/>
    <col min="2" max="2" width="2.83203125" style="237" customWidth="1"/>
    <col min="3" max="3" width="11.5" style="237" bestFit="1" customWidth="1"/>
    <col min="4" max="4" width="2.83203125" style="237" customWidth="1"/>
    <col min="5" max="5" width="9.33203125" style="237" customWidth="1"/>
    <col min="6" max="6" width="2.83203125" style="237" customWidth="1"/>
    <col min="7" max="7" width="33.16015625" style="237" bestFit="1" customWidth="1"/>
    <col min="8" max="8" width="42.66015625" style="237" bestFit="1" customWidth="1"/>
    <col min="9" max="9" width="11.16015625" style="275" customWidth="1"/>
    <col min="10" max="10" width="2.83203125" style="237" customWidth="1"/>
    <col min="11" max="11" width="11.5" style="237" bestFit="1" customWidth="1"/>
    <col min="12" max="12" width="2.83203125" style="237" customWidth="1"/>
    <col min="13" max="13" width="38.16015625" style="237" customWidth="1"/>
    <col min="14" max="14" width="30" style="237" bestFit="1" customWidth="1"/>
    <col min="15" max="15" width="20.83203125" style="237" bestFit="1" customWidth="1"/>
    <col min="16" max="16" width="32.5" style="237" bestFit="1" customWidth="1"/>
    <col min="17" max="16384" width="12" style="237" customWidth="1"/>
  </cols>
  <sheetData>
    <row r="2" spans="1:16" ht="18">
      <c r="A2" s="261" t="s">
        <v>1</v>
      </c>
      <c r="B2" s="127"/>
      <c r="C2" s="261" t="s">
        <v>2</v>
      </c>
      <c r="D2" s="127"/>
      <c r="E2" s="261" t="s">
        <v>4</v>
      </c>
      <c r="F2" s="4"/>
      <c r="G2" s="285" t="s">
        <v>52</v>
      </c>
      <c r="H2" s="285"/>
      <c r="I2" s="285"/>
      <c r="J2" s="4"/>
      <c r="K2" s="261" t="s">
        <v>40</v>
      </c>
      <c r="M2" s="286" t="s">
        <v>604</v>
      </c>
      <c r="N2" s="287"/>
      <c r="O2" s="287"/>
      <c r="P2" s="288"/>
    </row>
    <row r="3" spans="1:16" ht="13.5">
      <c r="A3" s="160" t="s">
        <v>65</v>
      </c>
      <c r="B3" s="99"/>
      <c r="C3" s="160" t="s">
        <v>93</v>
      </c>
      <c r="D3" s="4"/>
      <c r="E3" s="160" t="s">
        <v>57</v>
      </c>
      <c r="F3" s="4"/>
      <c r="G3" s="262" t="s">
        <v>54</v>
      </c>
      <c r="H3" s="262" t="s">
        <v>51</v>
      </c>
      <c r="I3" s="262" t="s">
        <v>53</v>
      </c>
      <c r="J3" s="4"/>
      <c r="K3" s="160" t="s">
        <v>59</v>
      </c>
      <c r="M3" s="255" t="s">
        <v>77</v>
      </c>
      <c r="N3" s="255" t="s">
        <v>117</v>
      </c>
      <c r="O3" s="255" t="s">
        <v>118</v>
      </c>
      <c r="P3" s="255" t="s">
        <v>119</v>
      </c>
    </row>
    <row r="4" spans="1:16" ht="13.5">
      <c r="A4" s="161" t="s">
        <v>66</v>
      </c>
      <c r="B4" s="99"/>
      <c r="C4" s="161" t="s">
        <v>94</v>
      </c>
      <c r="D4" s="4"/>
      <c r="E4" s="161" t="s">
        <v>61</v>
      </c>
      <c r="F4" s="4"/>
      <c r="G4" s="272" t="s">
        <v>95</v>
      </c>
      <c r="H4" s="272" t="s">
        <v>87</v>
      </c>
      <c r="I4" s="273" t="s">
        <v>87</v>
      </c>
      <c r="J4" s="4"/>
      <c r="K4" s="162" t="s">
        <v>60</v>
      </c>
      <c r="M4" s="256" t="s">
        <v>548</v>
      </c>
      <c r="N4" s="256" t="s">
        <v>120</v>
      </c>
      <c r="O4" s="256" t="s">
        <v>121</v>
      </c>
      <c r="P4" s="256" t="s">
        <v>122</v>
      </c>
    </row>
    <row r="5" spans="1:16" ht="13.5">
      <c r="A5" s="161" t="s">
        <v>67</v>
      </c>
      <c r="B5" s="99"/>
      <c r="C5" s="161" t="s">
        <v>56</v>
      </c>
      <c r="D5" s="4"/>
      <c r="E5" s="161" t="s">
        <v>62</v>
      </c>
      <c r="F5" s="4"/>
      <c r="G5" s="258" t="s">
        <v>546</v>
      </c>
      <c r="H5" s="258" t="s">
        <v>330</v>
      </c>
      <c r="I5" s="274" t="s">
        <v>661</v>
      </c>
      <c r="J5" s="257"/>
      <c r="M5" s="256" t="s">
        <v>81</v>
      </c>
      <c r="N5" s="256" t="s">
        <v>117</v>
      </c>
      <c r="O5" s="256" t="s">
        <v>123</v>
      </c>
      <c r="P5" s="256" t="s">
        <v>124</v>
      </c>
    </row>
    <row r="6" spans="1:16" ht="13.5">
      <c r="A6" s="161" t="s">
        <v>68</v>
      </c>
      <c r="B6" s="99"/>
      <c r="C6" s="161" t="s">
        <v>88</v>
      </c>
      <c r="D6" s="4"/>
      <c r="E6" s="161" t="s">
        <v>63</v>
      </c>
      <c r="F6" s="4"/>
      <c r="G6" s="258" t="s">
        <v>662</v>
      </c>
      <c r="H6" s="258" t="s">
        <v>340</v>
      </c>
      <c r="I6" s="274" t="s">
        <v>663</v>
      </c>
      <c r="J6" s="257"/>
      <c r="M6" s="256" t="s">
        <v>76</v>
      </c>
      <c r="N6" s="256" t="s">
        <v>117</v>
      </c>
      <c r="O6" s="256" t="s">
        <v>660</v>
      </c>
      <c r="P6" s="256" t="s">
        <v>125</v>
      </c>
    </row>
    <row r="7" spans="1:16" ht="13.5">
      <c r="A7" s="162" t="s">
        <v>518</v>
      </c>
      <c r="B7" s="99"/>
      <c r="C7" s="161" t="s">
        <v>89</v>
      </c>
      <c r="D7" s="4"/>
      <c r="E7" s="162" t="s">
        <v>64</v>
      </c>
      <c r="F7" s="4"/>
      <c r="G7" s="258" t="s">
        <v>170</v>
      </c>
      <c r="H7" s="258" t="s">
        <v>329</v>
      </c>
      <c r="I7" s="274" t="s">
        <v>664</v>
      </c>
      <c r="J7" s="257"/>
      <c r="K7" s="4"/>
      <c r="M7" s="256" t="s">
        <v>84</v>
      </c>
      <c r="N7" s="256" t="s">
        <v>126</v>
      </c>
      <c r="O7" s="256" t="s">
        <v>127</v>
      </c>
      <c r="P7" s="256" t="s">
        <v>128</v>
      </c>
    </row>
    <row r="8" spans="1:16" ht="13.5">
      <c r="A8" s="99"/>
      <c r="B8" s="99"/>
      <c r="C8" s="161" t="s">
        <v>90</v>
      </c>
      <c r="D8" s="4"/>
      <c r="E8" s="4"/>
      <c r="F8" s="4"/>
      <c r="G8" s="258" t="s">
        <v>608</v>
      </c>
      <c r="H8" s="258" t="s">
        <v>354</v>
      </c>
      <c r="I8" s="274" t="s">
        <v>665</v>
      </c>
      <c r="J8" s="257"/>
      <c r="K8" s="4"/>
      <c r="M8" s="256" t="s">
        <v>80</v>
      </c>
      <c r="N8" s="256" t="s">
        <v>129</v>
      </c>
      <c r="O8" s="256" t="s">
        <v>130</v>
      </c>
      <c r="P8" s="256" t="s">
        <v>131</v>
      </c>
    </row>
    <row r="9" spans="1:16" ht="13.5">
      <c r="A9" s="99"/>
      <c r="B9" s="99"/>
      <c r="C9" s="161" t="s">
        <v>91</v>
      </c>
      <c r="D9" s="4"/>
      <c r="E9" s="4"/>
      <c r="F9" s="4"/>
      <c r="G9" s="258" t="s">
        <v>171</v>
      </c>
      <c r="H9" s="258" t="s">
        <v>330</v>
      </c>
      <c r="I9" s="274" t="s">
        <v>666</v>
      </c>
      <c r="J9" s="257"/>
      <c r="K9" s="4"/>
      <c r="M9" s="256" t="s">
        <v>349</v>
      </c>
      <c r="N9" s="256" t="s">
        <v>164</v>
      </c>
      <c r="O9" s="256" t="s">
        <v>165</v>
      </c>
      <c r="P9" s="256" t="s">
        <v>166</v>
      </c>
    </row>
    <row r="10" spans="1:16" ht="13.5">
      <c r="A10" s="99"/>
      <c r="B10" s="99"/>
      <c r="C10" s="161" t="s">
        <v>92</v>
      </c>
      <c r="D10" s="4"/>
      <c r="E10" s="4"/>
      <c r="F10" s="4"/>
      <c r="G10" s="258" t="s">
        <v>1348</v>
      </c>
      <c r="H10" s="258" t="s">
        <v>330</v>
      </c>
      <c r="I10" s="274" t="s">
        <v>1349</v>
      </c>
      <c r="J10" s="257"/>
      <c r="K10" s="4"/>
      <c r="M10" s="256" t="s">
        <v>75</v>
      </c>
      <c r="N10" s="256" t="s">
        <v>117</v>
      </c>
      <c r="O10" s="256" t="s">
        <v>132</v>
      </c>
      <c r="P10" s="256" t="s">
        <v>133</v>
      </c>
    </row>
    <row r="11" spans="1:16" ht="13.5">
      <c r="A11" s="99"/>
      <c r="B11" s="99"/>
      <c r="C11" s="161" t="s">
        <v>519</v>
      </c>
      <c r="D11" s="4"/>
      <c r="E11" s="4"/>
      <c r="F11" s="4"/>
      <c r="G11" s="258" t="s">
        <v>547</v>
      </c>
      <c r="H11" s="258" t="s">
        <v>548</v>
      </c>
      <c r="I11" s="274" t="s">
        <v>667</v>
      </c>
      <c r="J11" s="257"/>
      <c r="K11" s="4"/>
      <c r="M11" s="256" t="s">
        <v>74</v>
      </c>
      <c r="N11" s="256" t="s">
        <v>134</v>
      </c>
      <c r="O11" s="256" t="s">
        <v>135</v>
      </c>
      <c r="P11" s="256" t="s">
        <v>136</v>
      </c>
    </row>
    <row r="12" spans="1:16" ht="13.5">
      <c r="A12" s="99"/>
      <c r="B12" s="99"/>
      <c r="C12" s="161" t="s">
        <v>520</v>
      </c>
      <c r="D12" s="4"/>
      <c r="E12" s="4"/>
      <c r="F12" s="4"/>
      <c r="G12" s="258" t="s">
        <v>1350</v>
      </c>
      <c r="H12" s="258" t="s">
        <v>331</v>
      </c>
      <c r="I12" s="274" t="s">
        <v>1351</v>
      </c>
      <c r="J12" s="257"/>
      <c r="K12" s="4"/>
      <c r="M12" s="256" t="s">
        <v>354</v>
      </c>
      <c r="N12" s="256" t="s">
        <v>117</v>
      </c>
      <c r="O12" s="256" t="s">
        <v>655</v>
      </c>
      <c r="P12" s="256" t="s">
        <v>574</v>
      </c>
    </row>
    <row r="13" spans="1:16" ht="13.5">
      <c r="A13" s="99"/>
      <c r="B13" s="99"/>
      <c r="C13" s="162" t="s">
        <v>521</v>
      </c>
      <c r="D13" s="4"/>
      <c r="E13" s="4"/>
      <c r="F13" s="4"/>
      <c r="G13" s="258" t="s">
        <v>172</v>
      </c>
      <c r="H13" s="258" t="s">
        <v>332</v>
      </c>
      <c r="I13" s="274" t="s">
        <v>668</v>
      </c>
      <c r="J13" s="257"/>
      <c r="K13" s="4"/>
      <c r="M13" s="256" t="s">
        <v>78</v>
      </c>
      <c r="N13" s="256" t="s">
        <v>117</v>
      </c>
      <c r="O13" s="256" t="s">
        <v>137</v>
      </c>
      <c r="P13" s="256" t="s">
        <v>138</v>
      </c>
    </row>
    <row r="14" spans="1:16" ht="13.5">
      <c r="A14" s="4"/>
      <c r="B14" s="4"/>
      <c r="C14" s="4"/>
      <c r="D14" s="4"/>
      <c r="E14" s="4"/>
      <c r="F14" s="4"/>
      <c r="G14" s="258" t="s">
        <v>173</v>
      </c>
      <c r="H14" s="258" t="s">
        <v>331</v>
      </c>
      <c r="I14" s="274" t="s">
        <v>669</v>
      </c>
      <c r="J14" s="257"/>
      <c r="K14" s="4"/>
      <c r="M14" s="256" t="s">
        <v>82</v>
      </c>
      <c r="N14" s="256" t="s">
        <v>139</v>
      </c>
      <c r="O14" s="256" t="s">
        <v>140</v>
      </c>
      <c r="P14" s="256" t="s">
        <v>141</v>
      </c>
    </row>
    <row r="15" spans="1:16" ht="13.5">
      <c r="A15" s="4"/>
      <c r="B15" s="4"/>
      <c r="C15" s="4"/>
      <c r="D15" s="4"/>
      <c r="E15" s="4"/>
      <c r="F15" s="4"/>
      <c r="G15" s="258" t="s">
        <v>670</v>
      </c>
      <c r="H15" s="258" t="s">
        <v>354</v>
      </c>
      <c r="I15" s="274" t="s">
        <v>671</v>
      </c>
      <c r="J15" s="257"/>
      <c r="K15" s="4"/>
      <c r="M15" s="256" t="s">
        <v>83</v>
      </c>
      <c r="N15" s="256" t="s">
        <v>142</v>
      </c>
      <c r="O15" s="256" t="s">
        <v>143</v>
      </c>
      <c r="P15" s="256" t="s">
        <v>144</v>
      </c>
    </row>
    <row r="16" spans="1:16" ht="15.75">
      <c r="A16" s="261" t="s">
        <v>536</v>
      </c>
      <c r="B16" s="4"/>
      <c r="E16" s="4"/>
      <c r="F16" s="4"/>
      <c r="G16" s="258" t="s">
        <v>333</v>
      </c>
      <c r="H16" s="258" t="s">
        <v>334</v>
      </c>
      <c r="I16" s="274" t="s">
        <v>672</v>
      </c>
      <c r="J16" s="257"/>
      <c r="K16" s="4"/>
      <c r="M16" s="256" t="s">
        <v>73</v>
      </c>
      <c r="N16" s="256" t="s">
        <v>145</v>
      </c>
      <c r="O16" s="256" t="s">
        <v>146</v>
      </c>
      <c r="P16" s="256" t="s">
        <v>147</v>
      </c>
    </row>
    <row r="17" spans="1:16" ht="13.5">
      <c r="A17" s="160">
        <v>2</v>
      </c>
      <c r="B17" s="4"/>
      <c r="E17" s="4"/>
      <c r="F17" s="4"/>
      <c r="G17" s="258" t="s">
        <v>335</v>
      </c>
      <c r="H17" s="258" t="s">
        <v>334</v>
      </c>
      <c r="I17" s="274" t="s">
        <v>673</v>
      </c>
      <c r="J17" s="257"/>
      <c r="K17" s="4"/>
      <c r="M17" s="256" t="s">
        <v>79</v>
      </c>
      <c r="N17" s="256" t="s">
        <v>142</v>
      </c>
      <c r="O17" s="256" t="s">
        <v>148</v>
      </c>
      <c r="P17" s="256" t="s">
        <v>149</v>
      </c>
    </row>
    <row r="18" spans="1:16" ht="13.5">
      <c r="A18" s="161">
        <v>1</v>
      </c>
      <c r="B18" s="4"/>
      <c r="E18" s="4"/>
      <c r="F18" s="4"/>
      <c r="G18" s="258" t="s">
        <v>336</v>
      </c>
      <c r="H18" s="258" t="s">
        <v>337</v>
      </c>
      <c r="I18" s="274" t="s">
        <v>674</v>
      </c>
      <c r="J18" s="257"/>
      <c r="K18" s="4"/>
      <c r="M18" s="256" t="s">
        <v>71</v>
      </c>
      <c r="N18" s="256" t="s">
        <v>117</v>
      </c>
      <c r="O18" s="256" t="s">
        <v>150</v>
      </c>
      <c r="P18" s="256" t="s">
        <v>151</v>
      </c>
    </row>
    <row r="19" spans="1:16" ht="13.5">
      <c r="A19" s="162">
        <v>0</v>
      </c>
      <c r="B19" s="4"/>
      <c r="E19" s="4"/>
      <c r="F19" s="4"/>
      <c r="G19" s="258" t="s">
        <v>1352</v>
      </c>
      <c r="H19" s="258" t="s">
        <v>334</v>
      </c>
      <c r="I19" s="274" t="s">
        <v>1353</v>
      </c>
      <c r="J19" s="257"/>
      <c r="K19" s="4"/>
      <c r="M19" s="256" t="s">
        <v>85</v>
      </c>
      <c r="N19" s="256" t="s">
        <v>117</v>
      </c>
      <c r="O19" s="256" t="s">
        <v>152</v>
      </c>
      <c r="P19" s="256" t="s">
        <v>153</v>
      </c>
    </row>
    <row r="20" spans="1:16" ht="13.5">
      <c r="A20" s="99"/>
      <c r="B20" s="4"/>
      <c r="E20" s="4"/>
      <c r="F20" s="4"/>
      <c r="G20" s="258" t="s">
        <v>174</v>
      </c>
      <c r="H20" s="258" t="s">
        <v>338</v>
      </c>
      <c r="I20" s="274" t="s">
        <v>675</v>
      </c>
      <c r="J20" s="257"/>
      <c r="K20" s="4"/>
      <c r="M20" s="256" t="s">
        <v>72</v>
      </c>
      <c r="N20" s="256" t="s">
        <v>117</v>
      </c>
      <c r="O20" s="256" t="s">
        <v>154</v>
      </c>
      <c r="P20" s="256" t="s">
        <v>155</v>
      </c>
    </row>
    <row r="21" spans="1:16" ht="15.75">
      <c r="A21" s="261" t="s">
        <v>537</v>
      </c>
      <c r="B21" s="4"/>
      <c r="C21" s="4"/>
      <c r="D21" s="4"/>
      <c r="E21" s="4"/>
      <c r="F21" s="4"/>
      <c r="G21" s="258" t="s">
        <v>175</v>
      </c>
      <c r="H21" s="258" t="s">
        <v>340</v>
      </c>
      <c r="I21" s="274" t="s">
        <v>676</v>
      </c>
      <c r="J21" s="257"/>
      <c r="K21" s="4"/>
      <c r="M21" s="256" t="s">
        <v>70</v>
      </c>
      <c r="N21" s="256" t="s">
        <v>117</v>
      </c>
      <c r="O21" s="256" t="s">
        <v>156</v>
      </c>
      <c r="P21" s="256" t="s">
        <v>157</v>
      </c>
    </row>
    <row r="22" spans="1:16" ht="13.5">
      <c r="A22" s="160">
        <v>2</v>
      </c>
      <c r="B22" s="4"/>
      <c r="C22" s="4"/>
      <c r="D22" s="4"/>
      <c r="E22" s="4"/>
      <c r="F22" s="4"/>
      <c r="G22" s="258" t="s">
        <v>342</v>
      </c>
      <c r="H22" s="258" t="s">
        <v>327</v>
      </c>
      <c r="I22" s="274" t="s">
        <v>677</v>
      </c>
      <c r="J22" s="257"/>
      <c r="K22" s="4"/>
      <c r="M22" s="256" t="s">
        <v>86</v>
      </c>
      <c r="N22" s="256" t="s">
        <v>158</v>
      </c>
      <c r="O22" s="256" t="s">
        <v>159</v>
      </c>
      <c r="P22" s="256" t="s">
        <v>160</v>
      </c>
    </row>
    <row r="23" spans="1:16" ht="13.5">
      <c r="A23" s="162">
        <v>0</v>
      </c>
      <c r="B23" s="4"/>
      <c r="C23" s="4"/>
      <c r="D23" s="4"/>
      <c r="E23" s="4"/>
      <c r="F23" s="4"/>
      <c r="G23" s="258" t="s">
        <v>678</v>
      </c>
      <c r="H23" s="258" t="s">
        <v>349</v>
      </c>
      <c r="I23" s="274" t="s">
        <v>679</v>
      </c>
      <c r="J23" s="257"/>
      <c r="K23" s="4"/>
      <c r="M23" s="259" t="s">
        <v>69</v>
      </c>
      <c r="N23" s="259" t="s">
        <v>161</v>
      </c>
      <c r="O23" s="259" t="s">
        <v>162</v>
      </c>
      <c r="P23" s="259" t="s">
        <v>163</v>
      </c>
    </row>
    <row r="24" spans="1:16" ht="13.5">
      <c r="A24" s="99"/>
      <c r="B24" s="4"/>
      <c r="C24" s="4"/>
      <c r="D24" s="4"/>
      <c r="E24" s="4"/>
      <c r="F24" s="4"/>
      <c r="G24" s="258" t="s">
        <v>176</v>
      </c>
      <c r="H24" s="258" t="s">
        <v>343</v>
      </c>
      <c r="I24" s="274" t="s">
        <v>680</v>
      </c>
      <c r="J24" s="257"/>
      <c r="K24" s="4"/>
      <c r="M24" s="260"/>
      <c r="N24" s="260"/>
      <c r="O24" s="260"/>
      <c r="P24" s="260"/>
    </row>
    <row r="25" spans="1:11" ht="15.75">
      <c r="A25" s="261" t="s">
        <v>575</v>
      </c>
      <c r="B25" s="4"/>
      <c r="C25" s="4"/>
      <c r="D25" s="4"/>
      <c r="E25" s="4"/>
      <c r="F25" s="4"/>
      <c r="G25" s="258" t="s">
        <v>549</v>
      </c>
      <c r="H25" s="258" t="s">
        <v>330</v>
      </c>
      <c r="I25" s="274" t="s">
        <v>681</v>
      </c>
      <c r="J25" s="257"/>
      <c r="K25" s="4"/>
    </row>
    <row r="26" spans="1:11" ht="12.75">
      <c r="A26" s="160" t="s">
        <v>577</v>
      </c>
      <c r="B26" s="4"/>
      <c r="C26" s="4"/>
      <c r="D26" s="4"/>
      <c r="E26" s="4"/>
      <c r="F26" s="4"/>
      <c r="G26" s="258" t="s">
        <v>550</v>
      </c>
      <c r="H26" s="258" t="s">
        <v>349</v>
      </c>
      <c r="I26" s="274" t="s">
        <v>682</v>
      </c>
      <c r="J26" s="257"/>
      <c r="K26" s="4"/>
    </row>
    <row r="27" spans="1:11" ht="12.75">
      <c r="A27" s="161" t="s">
        <v>578</v>
      </c>
      <c r="B27" s="4"/>
      <c r="C27" s="4"/>
      <c r="D27" s="4"/>
      <c r="E27" s="4"/>
      <c r="F27" s="4"/>
      <c r="G27" s="258" t="s">
        <v>344</v>
      </c>
      <c r="H27" s="258" t="s">
        <v>327</v>
      </c>
      <c r="I27" s="274" t="s">
        <v>683</v>
      </c>
      <c r="J27" s="257"/>
      <c r="K27" s="4"/>
    </row>
    <row r="28" spans="1:11" ht="12.75">
      <c r="A28" s="161" t="s">
        <v>579</v>
      </c>
      <c r="B28" s="4"/>
      <c r="C28" s="4"/>
      <c r="D28" s="4"/>
      <c r="E28" s="4"/>
      <c r="F28" s="4"/>
      <c r="G28" s="258" t="s">
        <v>345</v>
      </c>
      <c r="H28" s="258" t="s">
        <v>327</v>
      </c>
      <c r="I28" s="274" t="s">
        <v>684</v>
      </c>
      <c r="J28" s="257"/>
      <c r="K28" s="4"/>
    </row>
    <row r="29" spans="1:11" ht="12.75">
      <c r="A29" s="161" t="s">
        <v>580</v>
      </c>
      <c r="B29" s="4"/>
      <c r="C29" s="4"/>
      <c r="D29" s="4"/>
      <c r="E29" s="4"/>
      <c r="F29" s="4"/>
      <c r="G29" s="258" t="s">
        <v>177</v>
      </c>
      <c r="H29" s="258" t="s">
        <v>338</v>
      </c>
      <c r="I29" s="274" t="s">
        <v>685</v>
      </c>
      <c r="J29" s="257"/>
      <c r="K29" s="4"/>
    </row>
    <row r="30" spans="1:11" ht="12.75">
      <c r="A30" s="161" t="s">
        <v>581</v>
      </c>
      <c r="B30" s="4"/>
      <c r="C30" s="4"/>
      <c r="D30" s="4"/>
      <c r="E30" s="4"/>
      <c r="F30" s="4"/>
      <c r="G30" s="258" t="s">
        <v>686</v>
      </c>
      <c r="H30" s="258" t="s">
        <v>330</v>
      </c>
      <c r="I30" s="274" t="s">
        <v>687</v>
      </c>
      <c r="J30" s="257"/>
      <c r="K30" s="4"/>
    </row>
    <row r="31" spans="1:11" ht="12.75">
      <c r="A31" s="161" t="s">
        <v>582</v>
      </c>
      <c r="B31" s="4"/>
      <c r="C31" s="4"/>
      <c r="D31" s="4"/>
      <c r="E31" s="4"/>
      <c r="F31" s="4"/>
      <c r="G31" s="258" t="s">
        <v>1354</v>
      </c>
      <c r="H31" s="258" t="s">
        <v>330</v>
      </c>
      <c r="I31" s="274" t="s">
        <v>1355</v>
      </c>
      <c r="J31" s="257"/>
      <c r="K31" s="4"/>
    </row>
    <row r="32" spans="1:11" ht="12.75">
      <c r="A32" s="161" t="s">
        <v>583</v>
      </c>
      <c r="B32" s="4"/>
      <c r="C32" s="4"/>
      <c r="D32" s="4"/>
      <c r="E32" s="4"/>
      <c r="F32" s="4"/>
      <c r="G32" s="258" t="s">
        <v>178</v>
      </c>
      <c r="H32" s="258" t="s">
        <v>329</v>
      </c>
      <c r="I32" s="274" t="s">
        <v>688</v>
      </c>
      <c r="J32" s="257"/>
      <c r="K32" s="4"/>
    </row>
    <row r="33" spans="1:11" ht="12.75">
      <c r="A33" s="161" t="s">
        <v>584</v>
      </c>
      <c r="B33" s="4"/>
      <c r="C33" s="4"/>
      <c r="D33" s="4"/>
      <c r="E33" s="4"/>
      <c r="F33" s="4"/>
      <c r="G33" s="258" t="s">
        <v>689</v>
      </c>
      <c r="H33" s="258" t="s">
        <v>327</v>
      </c>
      <c r="I33" s="274" t="s">
        <v>690</v>
      </c>
      <c r="J33" s="257"/>
      <c r="K33" s="4"/>
    </row>
    <row r="34" spans="1:11" ht="12.75">
      <c r="A34" s="161" t="s">
        <v>585</v>
      </c>
      <c r="B34" s="4"/>
      <c r="C34" s="4"/>
      <c r="D34" s="4"/>
      <c r="E34" s="4"/>
      <c r="F34" s="4"/>
      <c r="G34" s="258" t="s">
        <v>346</v>
      </c>
      <c r="H34" s="258" t="s">
        <v>347</v>
      </c>
      <c r="I34" s="274" t="s">
        <v>691</v>
      </c>
      <c r="J34" s="257"/>
      <c r="K34" s="4"/>
    </row>
    <row r="35" spans="1:11" ht="12.75">
      <c r="A35" s="161" t="s">
        <v>586</v>
      </c>
      <c r="B35" s="4"/>
      <c r="C35" s="4"/>
      <c r="D35" s="4"/>
      <c r="E35" s="4"/>
      <c r="F35" s="4"/>
      <c r="G35" s="258" t="s">
        <v>1356</v>
      </c>
      <c r="H35" s="258" t="s">
        <v>352</v>
      </c>
      <c r="I35" s="274" t="s">
        <v>1357</v>
      </c>
      <c r="J35" s="257"/>
      <c r="K35" s="4"/>
    </row>
    <row r="36" spans="1:11" ht="12.75">
      <c r="A36" s="162" t="s">
        <v>587</v>
      </c>
      <c r="B36" s="4"/>
      <c r="C36" s="4"/>
      <c r="D36" s="4"/>
      <c r="E36" s="4"/>
      <c r="F36" s="4"/>
      <c r="G36" s="258" t="s">
        <v>692</v>
      </c>
      <c r="H36" s="258" t="s">
        <v>334</v>
      </c>
      <c r="I36" s="274" t="s">
        <v>693</v>
      </c>
      <c r="J36" s="257"/>
      <c r="K36" s="4"/>
    </row>
    <row r="37" spans="1:11" ht="12.75">
      <c r="A37" s="4"/>
      <c r="B37" s="4"/>
      <c r="C37" s="4"/>
      <c r="D37" s="4"/>
      <c r="E37" s="4"/>
      <c r="F37" s="4"/>
      <c r="G37" s="258" t="s">
        <v>179</v>
      </c>
      <c r="H37" s="258" t="s">
        <v>331</v>
      </c>
      <c r="I37" s="274" t="s">
        <v>694</v>
      </c>
      <c r="J37" s="257"/>
      <c r="K37" s="4"/>
    </row>
    <row r="38" spans="1:11" ht="12.75">
      <c r="A38" s="4"/>
      <c r="B38" s="4"/>
      <c r="C38" s="4"/>
      <c r="D38" s="4"/>
      <c r="E38" s="4"/>
      <c r="F38" s="4"/>
      <c r="G38" s="258" t="s">
        <v>609</v>
      </c>
      <c r="H38" s="258" t="s">
        <v>331</v>
      </c>
      <c r="I38" s="274" t="s">
        <v>695</v>
      </c>
      <c r="J38" s="257"/>
      <c r="K38" s="4"/>
    </row>
    <row r="39" spans="1:11" ht="12.75">
      <c r="A39" s="4"/>
      <c r="B39" s="4"/>
      <c r="C39" s="4"/>
      <c r="D39" s="4"/>
      <c r="E39" s="4"/>
      <c r="F39" s="4"/>
      <c r="G39" s="258" t="s">
        <v>1358</v>
      </c>
      <c r="H39" s="258" t="s">
        <v>327</v>
      </c>
      <c r="I39" s="274" t="s">
        <v>1359</v>
      </c>
      <c r="J39" s="257"/>
      <c r="K39" s="4"/>
    </row>
    <row r="40" spans="1:11" ht="12.75">
      <c r="A40" s="4"/>
      <c r="B40" s="4"/>
      <c r="C40" s="4"/>
      <c r="D40" s="4"/>
      <c r="E40" s="4"/>
      <c r="F40" s="4"/>
      <c r="G40" s="258" t="s">
        <v>180</v>
      </c>
      <c r="H40" s="258" t="s">
        <v>329</v>
      </c>
      <c r="I40" s="274" t="s">
        <v>696</v>
      </c>
      <c r="J40" s="257"/>
      <c r="K40" s="4"/>
    </row>
    <row r="41" spans="1:11" ht="12.75">
      <c r="A41" s="4"/>
      <c r="B41" s="4"/>
      <c r="C41" s="4"/>
      <c r="D41" s="4"/>
      <c r="E41" s="4"/>
      <c r="F41" s="4"/>
      <c r="G41" s="258" t="s">
        <v>348</v>
      </c>
      <c r="H41" s="258" t="s">
        <v>329</v>
      </c>
      <c r="I41" s="274" t="s">
        <v>697</v>
      </c>
      <c r="J41" s="257"/>
      <c r="K41" s="4"/>
    </row>
    <row r="42" spans="1:11" ht="12.75">
      <c r="A42" s="4"/>
      <c r="B42" s="4"/>
      <c r="C42" s="4"/>
      <c r="D42" s="4"/>
      <c r="E42" s="4"/>
      <c r="F42" s="4"/>
      <c r="G42" s="258" t="s">
        <v>181</v>
      </c>
      <c r="H42" s="258" t="s">
        <v>340</v>
      </c>
      <c r="I42" s="274" t="s">
        <v>698</v>
      </c>
      <c r="J42" s="257"/>
      <c r="K42" s="4"/>
    </row>
    <row r="43" spans="1:11" ht="12.75">
      <c r="A43" s="4"/>
      <c r="B43" s="4"/>
      <c r="C43" s="4"/>
      <c r="D43" s="4"/>
      <c r="E43" s="4"/>
      <c r="F43" s="4"/>
      <c r="G43" s="258" t="s">
        <v>350</v>
      </c>
      <c r="H43" s="258" t="s">
        <v>340</v>
      </c>
      <c r="I43" s="274" t="s">
        <v>699</v>
      </c>
      <c r="J43" s="257"/>
      <c r="K43" s="4"/>
    </row>
    <row r="44" spans="1:11" ht="12.75">
      <c r="A44" s="4"/>
      <c r="B44" s="4"/>
      <c r="C44" s="4"/>
      <c r="D44" s="4"/>
      <c r="E44" s="4"/>
      <c r="F44" s="4"/>
      <c r="G44" s="258" t="s">
        <v>182</v>
      </c>
      <c r="H44" s="258" t="s">
        <v>331</v>
      </c>
      <c r="I44" s="274" t="s">
        <v>700</v>
      </c>
      <c r="J44" s="257"/>
      <c r="K44" s="4"/>
    </row>
    <row r="45" spans="1:11" ht="12.75">
      <c r="A45" s="4"/>
      <c r="B45" s="4"/>
      <c r="C45" s="4"/>
      <c r="D45" s="4"/>
      <c r="E45" s="4"/>
      <c r="F45" s="4"/>
      <c r="G45" s="258" t="s">
        <v>701</v>
      </c>
      <c r="H45" s="258" t="s">
        <v>349</v>
      </c>
      <c r="I45" s="274" t="s">
        <v>702</v>
      </c>
      <c r="J45" s="257"/>
      <c r="K45" s="4"/>
    </row>
    <row r="46" spans="1:11" ht="12.75">
      <c r="A46" s="4"/>
      <c r="B46" s="4"/>
      <c r="C46" s="4"/>
      <c r="D46" s="4"/>
      <c r="E46" s="4"/>
      <c r="F46" s="4"/>
      <c r="G46" s="258" t="s">
        <v>351</v>
      </c>
      <c r="H46" s="258" t="s">
        <v>352</v>
      </c>
      <c r="I46" s="274" t="s">
        <v>703</v>
      </c>
      <c r="J46" s="257"/>
      <c r="K46" s="4"/>
    </row>
    <row r="47" spans="1:11" ht="12.75">
      <c r="A47" s="4"/>
      <c r="B47" s="4"/>
      <c r="C47" s="4"/>
      <c r="D47" s="4"/>
      <c r="E47" s="4"/>
      <c r="F47" s="4"/>
      <c r="G47" s="258" t="s">
        <v>1360</v>
      </c>
      <c r="H47" s="258" t="s">
        <v>327</v>
      </c>
      <c r="I47" s="274" t="s">
        <v>1361</v>
      </c>
      <c r="J47" s="257"/>
      <c r="K47" s="4"/>
    </row>
    <row r="48" spans="1:11" ht="12.75">
      <c r="A48" s="4"/>
      <c r="B48" s="4"/>
      <c r="C48" s="4"/>
      <c r="D48" s="4"/>
      <c r="E48" s="4"/>
      <c r="F48" s="4"/>
      <c r="G48" s="258" t="s">
        <v>353</v>
      </c>
      <c r="H48" s="258" t="s">
        <v>354</v>
      </c>
      <c r="I48" s="274" t="s">
        <v>704</v>
      </c>
      <c r="J48" s="257"/>
      <c r="K48" s="4"/>
    </row>
    <row r="49" spans="1:11" ht="12.75">
      <c r="A49" s="4"/>
      <c r="B49" s="4"/>
      <c r="C49" s="4"/>
      <c r="D49" s="4"/>
      <c r="E49" s="4"/>
      <c r="F49" s="4"/>
      <c r="G49" s="258" t="s">
        <v>183</v>
      </c>
      <c r="H49" s="258" t="s">
        <v>341</v>
      </c>
      <c r="I49" s="274" t="s">
        <v>705</v>
      </c>
      <c r="J49" s="257"/>
      <c r="K49" s="4"/>
    </row>
    <row r="50" spans="1:11" ht="12.75">
      <c r="A50" s="4"/>
      <c r="B50" s="4"/>
      <c r="C50" s="4"/>
      <c r="D50" s="4"/>
      <c r="E50" s="4"/>
      <c r="F50" s="4"/>
      <c r="G50" s="258" t="s">
        <v>184</v>
      </c>
      <c r="H50" s="258" t="s">
        <v>339</v>
      </c>
      <c r="I50" s="274" t="s">
        <v>706</v>
      </c>
      <c r="J50" s="257"/>
      <c r="K50" s="4"/>
    </row>
    <row r="51" spans="1:11" ht="12.75">
      <c r="A51" s="4"/>
      <c r="B51" s="4"/>
      <c r="C51" s="4"/>
      <c r="D51" s="4"/>
      <c r="E51" s="4"/>
      <c r="F51" s="4"/>
      <c r="G51" s="258" t="s">
        <v>707</v>
      </c>
      <c r="H51" s="258" t="s">
        <v>334</v>
      </c>
      <c r="I51" s="274" t="s">
        <v>708</v>
      </c>
      <c r="J51" s="257"/>
      <c r="K51" s="4"/>
    </row>
    <row r="52" spans="1:11" ht="12.75">
      <c r="A52" s="4"/>
      <c r="B52" s="4"/>
      <c r="C52" s="4"/>
      <c r="D52" s="4"/>
      <c r="E52" s="4"/>
      <c r="F52" s="4"/>
      <c r="G52" s="258" t="s">
        <v>1362</v>
      </c>
      <c r="H52" s="258" t="s">
        <v>352</v>
      </c>
      <c r="I52" s="274" t="s">
        <v>1363</v>
      </c>
      <c r="J52" s="257"/>
      <c r="K52" s="4"/>
    </row>
    <row r="53" spans="1:11" ht="12.75">
      <c r="A53" s="4"/>
      <c r="B53" s="4"/>
      <c r="C53" s="4"/>
      <c r="D53" s="4"/>
      <c r="E53" s="4"/>
      <c r="F53" s="4"/>
      <c r="G53" s="258" t="s">
        <v>1364</v>
      </c>
      <c r="H53" s="258" t="s">
        <v>352</v>
      </c>
      <c r="I53" s="274" t="s">
        <v>1365</v>
      </c>
      <c r="J53" s="257"/>
      <c r="K53" s="4"/>
    </row>
    <row r="54" spans="1:11" ht="12.75">
      <c r="A54" s="4"/>
      <c r="B54" s="4"/>
      <c r="C54" s="4"/>
      <c r="D54" s="4"/>
      <c r="E54" s="4"/>
      <c r="F54" s="4"/>
      <c r="G54" s="258" t="s">
        <v>709</v>
      </c>
      <c r="H54" s="258" t="s">
        <v>341</v>
      </c>
      <c r="I54" s="274" t="s">
        <v>710</v>
      </c>
      <c r="J54" s="257"/>
      <c r="K54" s="4"/>
    </row>
    <row r="55" spans="1:11" ht="12.75">
      <c r="A55" s="4"/>
      <c r="B55" s="4"/>
      <c r="C55" s="4"/>
      <c r="D55" s="4"/>
      <c r="E55" s="4"/>
      <c r="F55" s="4"/>
      <c r="G55" s="258" t="s">
        <v>355</v>
      </c>
      <c r="H55" s="258" t="s">
        <v>354</v>
      </c>
      <c r="I55" s="274" t="s">
        <v>711</v>
      </c>
      <c r="J55" s="257"/>
      <c r="K55" s="4"/>
    </row>
    <row r="56" spans="1:11" ht="12.75">
      <c r="A56" s="4"/>
      <c r="B56" s="4"/>
      <c r="C56" s="4"/>
      <c r="D56" s="4"/>
      <c r="E56" s="4"/>
      <c r="F56" s="4"/>
      <c r="G56" s="258" t="s">
        <v>712</v>
      </c>
      <c r="H56" s="258" t="s">
        <v>327</v>
      </c>
      <c r="I56" s="274" t="s">
        <v>713</v>
      </c>
      <c r="J56" s="257"/>
      <c r="K56" s="4"/>
    </row>
    <row r="57" spans="1:11" ht="12.75">
      <c r="A57" s="4"/>
      <c r="B57" s="4"/>
      <c r="C57" s="4"/>
      <c r="D57" s="4"/>
      <c r="E57" s="4"/>
      <c r="F57" s="4"/>
      <c r="G57" s="258" t="s">
        <v>185</v>
      </c>
      <c r="H57" s="258" t="s">
        <v>352</v>
      </c>
      <c r="I57" s="274" t="s">
        <v>714</v>
      </c>
      <c r="J57" s="257"/>
      <c r="K57" s="4"/>
    </row>
    <row r="58" spans="1:11" ht="12.75">
      <c r="A58" s="4"/>
      <c r="B58" s="4"/>
      <c r="C58" s="4"/>
      <c r="D58" s="4"/>
      <c r="E58" s="4"/>
      <c r="F58" s="4"/>
      <c r="G58" s="258" t="s">
        <v>356</v>
      </c>
      <c r="H58" s="258" t="s">
        <v>340</v>
      </c>
      <c r="I58" s="274" t="s">
        <v>715</v>
      </c>
      <c r="J58" s="257"/>
      <c r="K58" s="4"/>
    </row>
    <row r="59" spans="1:11" ht="12.75">
      <c r="A59" s="4"/>
      <c r="B59" s="4"/>
      <c r="C59" s="4"/>
      <c r="D59" s="4"/>
      <c r="E59" s="4"/>
      <c r="F59" s="4"/>
      <c r="G59" s="258" t="s">
        <v>716</v>
      </c>
      <c r="H59" s="258" t="s">
        <v>354</v>
      </c>
      <c r="I59" s="274" t="s">
        <v>717</v>
      </c>
      <c r="J59" s="257"/>
      <c r="K59" s="4"/>
    </row>
    <row r="60" spans="1:11" ht="12.75">
      <c r="A60" s="4"/>
      <c r="B60" s="4"/>
      <c r="C60" s="4"/>
      <c r="D60" s="4"/>
      <c r="E60" s="4"/>
      <c r="F60" s="4"/>
      <c r="G60" s="258" t="s">
        <v>357</v>
      </c>
      <c r="H60" s="258" t="s">
        <v>339</v>
      </c>
      <c r="I60" s="274" t="s">
        <v>718</v>
      </c>
      <c r="J60" s="257"/>
      <c r="K60" s="4"/>
    </row>
    <row r="61" spans="1:11" ht="12.75">
      <c r="A61" s="4"/>
      <c r="B61" s="4"/>
      <c r="C61" s="4"/>
      <c r="D61" s="4"/>
      <c r="E61" s="4"/>
      <c r="F61" s="4"/>
      <c r="G61" s="258" t="s">
        <v>1366</v>
      </c>
      <c r="H61" s="258" t="s">
        <v>337</v>
      </c>
      <c r="I61" s="274" t="s">
        <v>1367</v>
      </c>
      <c r="J61" s="257"/>
      <c r="K61" s="4"/>
    </row>
    <row r="62" spans="1:11" ht="12.75">
      <c r="A62" s="4"/>
      <c r="B62" s="4"/>
      <c r="C62" s="4"/>
      <c r="D62" s="4"/>
      <c r="E62" s="4"/>
      <c r="F62" s="4"/>
      <c r="G62" s="258" t="s">
        <v>186</v>
      </c>
      <c r="H62" s="258" t="s">
        <v>330</v>
      </c>
      <c r="I62" s="274" t="s">
        <v>719</v>
      </c>
      <c r="J62" s="257"/>
      <c r="K62" s="4"/>
    </row>
    <row r="63" spans="1:11" ht="12.75">
      <c r="A63" s="4"/>
      <c r="B63" s="4"/>
      <c r="C63" s="4"/>
      <c r="D63" s="4"/>
      <c r="E63" s="4"/>
      <c r="F63" s="4"/>
      <c r="G63" s="258" t="s">
        <v>358</v>
      </c>
      <c r="H63" s="258" t="s">
        <v>330</v>
      </c>
      <c r="I63" s="274" t="s">
        <v>720</v>
      </c>
      <c r="J63" s="257"/>
      <c r="K63" s="4"/>
    </row>
    <row r="64" spans="1:11" ht="12.75">
      <c r="A64" s="4"/>
      <c r="B64" s="4"/>
      <c r="C64" s="4"/>
      <c r="D64" s="4"/>
      <c r="E64" s="4"/>
      <c r="F64" s="4"/>
      <c r="G64" s="258" t="s">
        <v>359</v>
      </c>
      <c r="H64" s="258" t="s">
        <v>339</v>
      </c>
      <c r="I64" s="274" t="s">
        <v>721</v>
      </c>
      <c r="J64" s="257"/>
      <c r="K64" s="4"/>
    </row>
    <row r="65" spans="1:11" ht="12.75">
      <c r="A65" s="4"/>
      <c r="B65" s="4"/>
      <c r="C65" s="4"/>
      <c r="D65" s="4"/>
      <c r="E65" s="4"/>
      <c r="F65" s="4"/>
      <c r="G65" s="258" t="s">
        <v>722</v>
      </c>
      <c r="H65" s="258" t="s">
        <v>327</v>
      </c>
      <c r="I65" s="274" t="s">
        <v>723</v>
      </c>
      <c r="J65" s="257"/>
      <c r="K65" s="4"/>
    </row>
    <row r="66" spans="1:11" ht="12.75">
      <c r="A66" s="4"/>
      <c r="B66" s="4"/>
      <c r="C66" s="4"/>
      <c r="D66" s="4"/>
      <c r="E66" s="4"/>
      <c r="F66" s="4"/>
      <c r="G66" s="258" t="s">
        <v>1368</v>
      </c>
      <c r="H66" s="258" t="s">
        <v>331</v>
      </c>
      <c r="I66" s="274" t="s">
        <v>1369</v>
      </c>
      <c r="J66" s="257"/>
      <c r="K66" s="4"/>
    </row>
    <row r="67" spans="1:11" ht="12.75">
      <c r="A67" s="4"/>
      <c r="B67" s="4"/>
      <c r="C67" s="4"/>
      <c r="D67" s="4"/>
      <c r="E67" s="4"/>
      <c r="F67" s="4"/>
      <c r="G67" s="258" t="s">
        <v>1370</v>
      </c>
      <c r="H67" s="258" t="s">
        <v>327</v>
      </c>
      <c r="I67" s="274" t="s">
        <v>1371</v>
      </c>
      <c r="J67" s="257"/>
      <c r="K67" s="4"/>
    </row>
    <row r="68" spans="1:11" ht="12.75">
      <c r="A68" s="4"/>
      <c r="B68" s="4"/>
      <c r="C68" s="4"/>
      <c r="D68" s="4"/>
      <c r="E68" s="4"/>
      <c r="F68" s="4"/>
      <c r="G68" s="258" t="s">
        <v>360</v>
      </c>
      <c r="H68" s="258" t="s">
        <v>327</v>
      </c>
      <c r="I68" s="274" t="s">
        <v>724</v>
      </c>
      <c r="J68" s="257"/>
      <c r="K68" s="4"/>
    </row>
    <row r="69" spans="1:11" ht="12.75">
      <c r="A69" s="4"/>
      <c r="B69" s="4"/>
      <c r="C69" s="4"/>
      <c r="D69" s="4"/>
      <c r="E69" s="4"/>
      <c r="F69" s="4"/>
      <c r="G69" s="258" t="s">
        <v>361</v>
      </c>
      <c r="H69" s="258" t="s">
        <v>339</v>
      </c>
      <c r="I69" s="274" t="s">
        <v>725</v>
      </c>
      <c r="J69" s="257"/>
      <c r="K69" s="4"/>
    </row>
    <row r="70" spans="1:11" ht="12.75">
      <c r="A70" s="4"/>
      <c r="B70" s="4"/>
      <c r="C70" s="4"/>
      <c r="D70" s="4"/>
      <c r="E70" s="4"/>
      <c r="F70" s="4"/>
      <c r="G70" s="258" t="s">
        <v>362</v>
      </c>
      <c r="H70" s="258" t="s">
        <v>339</v>
      </c>
      <c r="I70" s="274" t="s">
        <v>726</v>
      </c>
      <c r="J70" s="257"/>
      <c r="K70" s="4"/>
    </row>
    <row r="71" spans="1:11" ht="12.75">
      <c r="A71" s="4"/>
      <c r="B71" s="4"/>
      <c r="C71" s="4"/>
      <c r="D71" s="4"/>
      <c r="E71" s="4"/>
      <c r="F71" s="4"/>
      <c r="G71" s="258" t="s">
        <v>727</v>
      </c>
      <c r="H71" s="258" t="s">
        <v>354</v>
      </c>
      <c r="I71" s="274" t="s">
        <v>728</v>
      </c>
      <c r="J71" s="257"/>
      <c r="K71" s="4"/>
    </row>
    <row r="72" spans="1:11" ht="12.75">
      <c r="A72" s="4"/>
      <c r="B72" s="4"/>
      <c r="C72" s="4"/>
      <c r="D72" s="4"/>
      <c r="E72" s="4"/>
      <c r="F72" s="4"/>
      <c r="G72" s="258" t="s">
        <v>187</v>
      </c>
      <c r="H72" s="258" t="s">
        <v>347</v>
      </c>
      <c r="I72" s="274" t="s">
        <v>729</v>
      </c>
      <c r="J72" s="257"/>
      <c r="K72" s="4"/>
    </row>
    <row r="73" spans="1:11" ht="12.75">
      <c r="A73" s="4"/>
      <c r="B73" s="4"/>
      <c r="C73" s="4"/>
      <c r="D73" s="4"/>
      <c r="E73" s="4"/>
      <c r="F73" s="4"/>
      <c r="G73" s="258" t="s">
        <v>730</v>
      </c>
      <c r="H73" s="258" t="s">
        <v>347</v>
      </c>
      <c r="I73" s="274" t="s">
        <v>731</v>
      </c>
      <c r="J73" s="257"/>
      <c r="K73" s="4"/>
    </row>
    <row r="74" spans="1:11" ht="12.75">
      <c r="A74" s="4"/>
      <c r="B74" s="4"/>
      <c r="C74" s="4"/>
      <c r="D74" s="4"/>
      <c r="E74" s="4"/>
      <c r="F74" s="4"/>
      <c r="G74" s="258" t="s">
        <v>363</v>
      </c>
      <c r="H74" s="258" t="s">
        <v>347</v>
      </c>
      <c r="I74" s="274" t="s">
        <v>732</v>
      </c>
      <c r="J74" s="257"/>
      <c r="K74" s="4"/>
    </row>
    <row r="75" spans="1:11" ht="12.75">
      <c r="A75" s="4"/>
      <c r="B75" s="4"/>
      <c r="C75" s="4"/>
      <c r="D75" s="4"/>
      <c r="E75" s="4"/>
      <c r="F75" s="4"/>
      <c r="G75" s="258" t="s">
        <v>364</v>
      </c>
      <c r="H75" s="258" t="s">
        <v>352</v>
      </c>
      <c r="I75" s="274" t="s">
        <v>733</v>
      </c>
      <c r="J75" s="257"/>
      <c r="K75" s="4"/>
    </row>
    <row r="76" spans="1:11" ht="12.75">
      <c r="A76" s="4"/>
      <c r="B76" s="4"/>
      <c r="C76" s="4"/>
      <c r="D76" s="4"/>
      <c r="E76" s="4"/>
      <c r="F76" s="4"/>
      <c r="G76" s="258" t="s">
        <v>734</v>
      </c>
      <c r="H76" s="258" t="s">
        <v>365</v>
      </c>
      <c r="I76" s="274" t="s">
        <v>735</v>
      </c>
      <c r="J76" s="257"/>
      <c r="K76" s="4"/>
    </row>
    <row r="77" spans="1:11" ht="12.75">
      <c r="A77" s="4"/>
      <c r="B77" s="4"/>
      <c r="C77" s="4"/>
      <c r="D77" s="4"/>
      <c r="E77" s="4"/>
      <c r="F77" s="4"/>
      <c r="G77" s="258" t="s">
        <v>188</v>
      </c>
      <c r="H77" s="258" t="s">
        <v>365</v>
      </c>
      <c r="I77" s="274" t="s">
        <v>736</v>
      </c>
      <c r="J77" s="257"/>
      <c r="K77" s="4"/>
    </row>
    <row r="78" spans="1:11" ht="12.75">
      <c r="A78" s="4"/>
      <c r="B78" s="4"/>
      <c r="C78" s="4"/>
      <c r="D78" s="4"/>
      <c r="E78" s="4"/>
      <c r="F78" s="4"/>
      <c r="G78" s="258" t="s">
        <v>737</v>
      </c>
      <c r="H78" s="258" t="s">
        <v>365</v>
      </c>
      <c r="I78" s="274" t="s">
        <v>738</v>
      </c>
      <c r="J78" s="257"/>
      <c r="K78" s="4"/>
    </row>
    <row r="79" spans="1:11" ht="12.75">
      <c r="A79" s="4"/>
      <c r="B79" s="4"/>
      <c r="C79" s="4"/>
      <c r="D79" s="4"/>
      <c r="E79" s="4"/>
      <c r="F79" s="4"/>
      <c r="G79" s="258" t="s">
        <v>189</v>
      </c>
      <c r="H79" s="258" t="s">
        <v>365</v>
      </c>
      <c r="I79" s="274" t="s">
        <v>739</v>
      </c>
      <c r="J79" s="257"/>
      <c r="K79" s="4"/>
    </row>
    <row r="80" spans="1:11" ht="12.75">
      <c r="A80" s="4"/>
      <c r="B80" s="4"/>
      <c r="C80" s="4"/>
      <c r="D80" s="4"/>
      <c r="E80" s="4"/>
      <c r="F80" s="4"/>
      <c r="G80" s="258" t="s">
        <v>190</v>
      </c>
      <c r="H80" s="258" t="s">
        <v>340</v>
      </c>
      <c r="I80" s="274" t="s">
        <v>740</v>
      </c>
      <c r="J80" s="257"/>
      <c r="K80" s="4"/>
    </row>
    <row r="81" spans="1:11" ht="12.75">
      <c r="A81" s="4"/>
      <c r="B81" s="4"/>
      <c r="C81" s="4"/>
      <c r="D81" s="4"/>
      <c r="E81" s="4"/>
      <c r="F81" s="4"/>
      <c r="G81" s="258" t="s">
        <v>366</v>
      </c>
      <c r="H81" s="258" t="s">
        <v>341</v>
      </c>
      <c r="I81" s="274" t="s">
        <v>741</v>
      </c>
      <c r="J81" s="257"/>
      <c r="K81" s="4"/>
    </row>
    <row r="82" spans="1:11" ht="12.75">
      <c r="A82" s="4"/>
      <c r="B82" s="4"/>
      <c r="C82" s="4"/>
      <c r="D82" s="4"/>
      <c r="E82" s="4"/>
      <c r="F82" s="4"/>
      <c r="G82" s="258" t="s">
        <v>551</v>
      </c>
      <c r="H82" s="258" t="s">
        <v>548</v>
      </c>
      <c r="I82" s="274" t="s">
        <v>742</v>
      </c>
      <c r="J82" s="257"/>
      <c r="K82" s="4"/>
    </row>
    <row r="83" spans="1:11" ht="12.75">
      <c r="A83" s="4"/>
      <c r="B83" s="4"/>
      <c r="C83" s="4"/>
      <c r="D83" s="4"/>
      <c r="E83" s="4"/>
      <c r="F83" s="4"/>
      <c r="G83" s="258" t="s">
        <v>1372</v>
      </c>
      <c r="H83" s="258" t="s">
        <v>327</v>
      </c>
      <c r="I83" s="274" t="s">
        <v>1373</v>
      </c>
      <c r="J83" s="257"/>
      <c r="K83" s="4"/>
    </row>
    <row r="84" spans="1:11" ht="12.75">
      <c r="A84" s="4"/>
      <c r="B84" s="4"/>
      <c r="C84" s="4"/>
      <c r="D84" s="4"/>
      <c r="E84" s="4"/>
      <c r="F84" s="4"/>
      <c r="G84" s="258" t="s">
        <v>1374</v>
      </c>
      <c r="H84" s="258" t="s">
        <v>329</v>
      </c>
      <c r="I84" s="274" t="s">
        <v>1375</v>
      </c>
      <c r="J84" s="257"/>
      <c r="K84" s="4"/>
    </row>
    <row r="85" spans="1:11" ht="12.75">
      <c r="A85" s="4"/>
      <c r="B85" s="4"/>
      <c r="C85" s="4"/>
      <c r="D85" s="4"/>
      <c r="E85" s="4"/>
      <c r="F85" s="4"/>
      <c r="G85" s="258" t="s">
        <v>1376</v>
      </c>
      <c r="H85" s="258" t="s">
        <v>329</v>
      </c>
      <c r="I85" s="274" t="s">
        <v>1377</v>
      </c>
      <c r="J85" s="257"/>
      <c r="K85" s="4"/>
    </row>
    <row r="86" spans="1:11" ht="12.75">
      <c r="A86" s="4"/>
      <c r="B86" s="4"/>
      <c r="C86" s="4"/>
      <c r="D86" s="4"/>
      <c r="E86" s="4"/>
      <c r="F86" s="4"/>
      <c r="G86" s="258" t="s">
        <v>1378</v>
      </c>
      <c r="H86" s="258" t="s">
        <v>340</v>
      </c>
      <c r="I86" s="274" t="s">
        <v>1379</v>
      </c>
      <c r="J86" s="257"/>
      <c r="K86" s="4"/>
    </row>
    <row r="87" spans="1:11" ht="12.75">
      <c r="A87" s="4"/>
      <c r="B87" s="4"/>
      <c r="C87" s="4"/>
      <c r="D87" s="4"/>
      <c r="E87" s="4"/>
      <c r="F87" s="4"/>
      <c r="G87" s="258" t="s">
        <v>1380</v>
      </c>
      <c r="H87" s="258" t="s">
        <v>354</v>
      </c>
      <c r="I87" s="274" t="s">
        <v>1381</v>
      </c>
      <c r="J87" s="257"/>
      <c r="K87" s="4"/>
    </row>
    <row r="88" spans="1:11" ht="12.75">
      <c r="A88" s="4"/>
      <c r="B88" s="4"/>
      <c r="C88" s="4"/>
      <c r="D88" s="4"/>
      <c r="E88" s="4"/>
      <c r="F88" s="4"/>
      <c r="G88" s="258" t="s">
        <v>191</v>
      </c>
      <c r="H88" s="258" t="s">
        <v>331</v>
      </c>
      <c r="I88" s="274" t="s">
        <v>743</v>
      </c>
      <c r="J88" s="257"/>
      <c r="K88" s="4"/>
    </row>
    <row r="89" spans="1:11" ht="12.75">
      <c r="A89" s="4"/>
      <c r="B89" s="4"/>
      <c r="C89" s="4"/>
      <c r="D89" s="4"/>
      <c r="E89" s="4"/>
      <c r="F89" s="4"/>
      <c r="G89" s="258" t="s">
        <v>654</v>
      </c>
      <c r="H89" s="258" t="s">
        <v>367</v>
      </c>
      <c r="I89" s="274" t="s">
        <v>744</v>
      </c>
      <c r="J89" s="257"/>
      <c r="K89" s="4"/>
    </row>
    <row r="90" spans="1:11" ht="12.75">
      <c r="A90" s="4"/>
      <c r="B90" s="4"/>
      <c r="C90" s="4"/>
      <c r="D90" s="4"/>
      <c r="E90" s="4"/>
      <c r="F90" s="4"/>
      <c r="G90" s="258" t="s">
        <v>192</v>
      </c>
      <c r="H90" s="258" t="s">
        <v>328</v>
      </c>
      <c r="I90" s="274" t="s">
        <v>745</v>
      </c>
      <c r="J90" s="257"/>
      <c r="K90" s="4"/>
    </row>
    <row r="91" spans="1:11" ht="12.75">
      <c r="A91" s="4"/>
      <c r="B91" s="4"/>
      <c r="C91" s="4"/>
      <c r="D91" s="4"/>
      <c r="E91" s="4"/>
      <c r="F91" s="4"/>
      <c r="G91" s="258" t="s">
        <v>193</v>
      </c>
      <c r="H91" s="258" t="s">
        <v>343</v>
      </c>
      <c r="I91" s="274" t="s">
        <v>746</v>
      </c>
      <c r="J91" s="257"/>
      <c r="K91" s="4"/>
    </row>
    <row r="92" spans="1:11" ht="12.75">
      <c r="A92" s="4"/>
      <c r="B92" s="4"/>
      <c r="C92" s="4"/>
      <c r="D92" s="4"/>
      <c r="E92" s="4"/>
      <c r="F92" s="4"/>
      <c r="G92" s="258" t="s">
        <v>610</v>
      </c>
      <c r="H92" s="258" t="s">
        <v>347</v>
      </c>
      <c r="I92" s="274" t="s">
        <v>747</v>
      </c>
      <c r="J92" s="257"/>
      <c r="K92" s="4"/>
    </row>
    <row r="93" spans="1:11" ht="12.75">
      <c r="A93" s="4"/>
      <c r="B93" s="4"/>
      <c r="C93" s="4"/>
      <c r="D93" s="4"/>
      <c r="E93" s="4"/>
      <c r="F93" s="4"/>
      <c r="G93" s="258" t="s">
        <v>748</v>
      </c>
      <c r="H93" s="258" t="s">
        <v>329</v>
      </c>
      <c r="I93" s="274" t="s">
        <v>749</v>
      </c>
      <c r="J93" s="257"/>
      <c r="K93" s="4"/>
    </row>
    <row r="94" spans="1:11" ht="12.75">
      <c r="A94" s="4"/>
      <c r="B94" s="4"/>
      <c r="C94" s="4"/>
      <c r="D94" s="4"/>
      <c r="E94" s="4"/>
      <c r="F94" s="4"/>
      <c r="G94" s="258" t="s">
        <v>750</v>
      </c>
      <c r="H94" s="258" t="s">
        <v>329</v>
      </c>
      <c r="I94" s="274" t="s">
        <v>751</v>
      </c>
      <c r="J94" s="257"/>
      <c r="K94" s="4"/>
    </row>
    <row r="95" spans="1:11" ht="12.75">
      <c r="A95" s="4"/>
      <c r="B95" s="4"/>
      <c r="C95" s="4"/>
      <c r="D95" s="4"/>
      <c r="E95" s="4"/>
      <c r="F95" s="4"/>
      <c r="G95" s="258" t="s">
        <v>1382</v>
      </c>
      <c r="H95" s="258" t="s">
        <v>334</v>
      </c>
      <c r="I95" s="274" t="s">
        <v>1383</v>
      </c>
      <c r="J95" s="257"/>
      <c r="K95" s="4"/>
    </row>
    <row r="96" spans="1:11" ht="12.75">
      <c r="A96" s="4"/>
      <c r="B96" s="4"/>
      <c r="C96" s="4"/>
      <c r="D96" s="4"/>
      <c r="E96" s="4"/>
      <c r="F96" s="4"/>
      <c r="G96" s="258" t="s">
        <v>194</v>
      </c>
      <c r="H96" s="258" t="s">
        <v>368</v>
      </c>
      <c r="I96" s="274" t="s">
        <v>752</v>
      </c>
      <c r="J96" s="257"/>
      <c r="K96" s="4"/>
    </row>
    <row r="97" spans="1:11" ht="12.75">
      <c r="A97" s="4"/>
      <c r="B97" s="4"/>
      <c r="C97" s="4"/>
      <c r="D97" s="4"/>
      <c r="E97" s="4"/>
      <c r="F97" s="4"/>
      <c r="G97" s="258" t="s">
        <v>552</v>
      </c>
      <c r="H97" s="258" t="s">
        <v>332</v>
      </c>
      <c r="I97" s="274" t="s">
        <v>753</v>
      </c>
      <c r="J97" s="257"/>
      <c r="K97" s="4"/>
    </row>
    <row r="98" spans="1:11" ht="12.75">
      <c r="A98" s="4"/>
      <c r="B98" s="4"/>
      <c r="C98" s="4"/>
      <c r="D98" s="4"/>
      <c r="E98" s="4"/>
      <c r="F98" s="4"/>
      <c r="G98" s="258" t="s">
        <v>1384</v>
      </c>
      <c r="H98" s="258" t="s">
        <v>328</v>
      </c>
      <c r="I98" s="274" t="s">
        <v>1385</v>
      </c>
      <c r="J98" s="257"/>
      <c r="K98" s="4"/>
    </row>
    <row r="99" spans="1:11" ht="12.75">
      <c r="A99" s="4"/>
      <c r="B99" s="4"/>
      <c r="C99" s="4"/>
      <c r="D99" s="4"/>
      <c r="E99" s="4"/>
      <c r="F99" s="4"/>
      <c r="G99" s="258" t="s">
        <v>369</v>
      </c>
      <c r="H99" s="258" t="s">
        <v>339</v>
      </c>
      <c r="I99" s="274" t="s">
        <v>754</v>
      </c>
      <c r="J99" s="257"/>
      <c r="K99" s="4"/>
    </row>
    <row r="100" spans="1:11" ht="12.75">
      <c r="A100" s="4"/>
      <c r="B100" s="4"/>
      <c r="C100" s="4"/>
      <c r="D100" s="4"/>
      <c r="E100" s="4"/>
      <c r="F100" s="4"/>
      <c r="G100" s="258" t="s">
        <v>755</v>
      </c>
      <c r="H100" s="258" t="s">
        <v>367</v>
      </c>
      <c r="I100" s="274" t="s">
        <v>756</v>
      </c>
      <c r="J100" s="257"/>
      <c r="K100" s="4"/>
    </row>
    <row r="101" spans="1:11" ht="12.75">
      <c r="A101" s="4"/>
      <c r="B101" s="4"/>
      <c r="C101" s="4"/>
      <c r="D101" s="4"/>
      <c r="E101" s="4"/>
      <c r="F101" s="4"/>
      <c r="G101" s="258" t="s">
        <v>195</v>
      </c>
      <c r="H101" s="258" t="s">
        <v>352</v>
      </c>
      <c r="I101" s="274" t="s">
        <v>757</v>
      </c>
      <c r="J101" s="257"/>
      <c r="K101" s="4"/>
    </row>
    <row r="102" spans="1:11" ht="12.75">
      <c r="A102" s="4"/>
      <c r="B102" s="4"/>
      <c r="C102" s="4"/>
      <c r="D102" s="4"/>
      <c r="E102" s="4"/>
      <c r="F102" s="4"/>
      <c r="G102" s="258" t="s">
        <v>758</v>
      </c>
      <c r="H102" s="258" t="s">
        <v>352</v>
      </c>
      <c r="I102" s="274" t="s">
        <v>759</v>
      </c>
      <c r="J102" s="257"/>
      <c r="K102" s="4"/>
    </row>
    <row r="103" spans="1:11" ht="12.75">
      <c r="A103" s="4"/>
      <c r="B103" s="4"/>
      <c r="C103" s="4"/>
      <c r="D103" s="4"/>
      <c r="E103" s="4"/>
      <c r="F103" s="4"/>
      <c r="G103" s="258" t="s">
        <v>760</v>
      </c>
      <c r="H103" s="258" t="s">
        <v>352</v>
      </c>
      <c r="I103" s="274" t="s">
        <v>761</v>
      </c>
      <c r="J103" s="257"/>
      <c r="K103" s="4"/>
    </row>
    <row r="104" spans="1:11" ht="12.75">
      <c r="A104" s="4"/>
      <c r="B104" s="4"/>
      <c r="C104" s="4"/>
      <c r="D104" s="4"/>
      <c r="E104" s="4"/>
      <c r="F104" s="4"/>
      <c r="G104" s="258" t="s">
        <v>1386</v>
      </c>
      <c r="H104" s="258" t="s">
        <v>352</v>
      </c>
      <c r="I104" s="274" t="s">
        <v>1387</v>
      </c>
      <c r="J104" s="257"/>
      <c r="K104" s="4"/>
    </row>
    <row r="105" spans="1:11" ht="12.75">
      <c r="A105" s="4"/>
      <c r="B105" s="4"/>
      <c r="C105" s="4"/>
      <c r="D105" s="4"/>
      <c r="E105" s="4"/>
      <c r="F105" s="4"/>
      <c r="G105" s="258" t="s">
        <v>370</v>
      </c>
      <c r="H105" s="258" t="s">
        <v>328</v>
      </c>
      <c r="I105" s="274" t="s">
        <v>762</v>
      </c>
      <c r="J105" s="257"/>
      <c r="K105" s="4"/>
    </row>
    <row r="106" spans="1:11" ht="12.75">
      <c r="A106" s="4"/>
      <c r="B106" s="4"/>
      <c r="C106" s="4"/>
      <c r="D106" s="4"/>
      <c r="E106" s="4"/>
      <c r="F106" s="4"/>
      <c r="G106" s="258" t="s">
        <v>196</v>
      </c>
      <c r="H106" s="258" t="s">
        <v>330</v>
      </c>
      <c r="I106" s="274" t="s">
        <v>763</v>
      </c>
      <c r="J106" s="257"/>
      <c r="K106" s="4"/>
    </row>
    <row r="107" spans="1:11" ht="12.75">
      <c r="A107" s="4"/>
      <c r="B107" s="4"/>
      <c r="C107" s="4"/>
      <c r="D107" s="4"/>
      <c r="E107" s="4"/>
      <c r="F107" s="4"/>
      <c r="G107" s="258" t="s">
        <v>371</v>
      </c>
      <c r="H107" s="258" t="s">
        <v>327</v>
      </c>
      <c r="I107" s="274" t="s">
        <v>764</v>
      </c>
      <c r="J107" s="257"/>
      <c r="K107" s="4"/>
    </row>
    <row r="108" spans="1:11" ht="12.75">
      <c r="A108" s="4"/>
      <c r="B108" s="4"/>
      <c r="C108" s="4"/>
      <c r="D108" s="4"/>
      <c r="E108" s="4"/>
      <c r="F108" s="4"/>
      <c r="G108" s="258" t="s">
        <v>1388</v>
      </c>
      <c r="H108" s="258" t="s">
        <v>548</v>
      </c>
      <c r="I108" s="274" t="s">
        <v>1389</v>
      </c>
      <c r="J108" s="257"/>
      <c r="K108" s="4"/>
    </row>
    <row r="109" spans="1:11" ht="12.75">
      <c r="A109" s="4"/>
      <c r="B109" s="4"/>
      <c r="C109" s="4"/>
      <c r="D109" s="4"/>
      <c r="E109" s="4"/>
      <c r="F109" s="4"/>
      <c r="G109" s="258" t="s">
        <v>372</v>
      </c>
      <c r="H109" s="258" t="s">
        <v>352</v>
      </c>
      <c r="I109" s="274" t="s">
        <v>765</v>
      </c>
      <c r="J109" s="257"/>
      <c r="K109" s="4"/>
    </row>
    <row r="110" spans="1:11" ht="12.75">
      <c r="A110" s="4"/>
      <c r="B110" s="4"/>
      <c r="C110" s="4"/>
      <c r="D110" s="4"/>
      <c r="E110" s="4"/>
      <c r="F110" s="4"/>
      <c r="G110" s="258" t="s">
        <v>197</v>
      </c>
      <c r="H110" s="258" t="s">
        <v>347</v>
      </c>
      <c r="I110" s="274" t="s">
        <v>766</v>
      </c>
      <c r="J110" s="257"/>
      <c r="K110" s="4"/>
    </row>
    <row r="111" spans="1:11" ht="12.75">
      <c r="A111" s="4"/>
      <c r="B111" s="4"/>
      <c r="C111" s="4"/>
      <c r="D111" s="4"/>
      <c r="E111" s="4"/>
      <c r="F111" s="4"/>
      <c r="G111" s="258" t="s">
        <v>767</v>
      </c>
      <c r="H111" s="258" t="s">
        <v>376</v>
      </c>
      <c r="I111" s="274" t="s">
        <v>768</v>
      </c>
      <c r="J111" s="257"/>
      <c r="K111" s="4"/>
    </row>
    <row r="112" spans="1:11" ht="12.75">
      <c r="A112" s="4"/>
      <c r="B112" s="4"/>
      <c r="C112" s="4"/>
      <c r="D112" s="4"/>
      <c r="E112" s="4"/>
      <c r="F112" s="4"/>
      <c r="G112" s="258" t="s">
        <v>198</v>
      </c>
      <c r="H112" s="258" t="s">
        <v>330</v>
      </c>
      <c r="I112" s="274" t="s">
        <v>769</v>
      </c>
      <c r="J112" s="257"/>
      <c r="K112" s="4"/>
    </row>
    <row r="113" spans="1:11" ht="12.75">
      <c r="A113" s="4"/>
      <c r="B113" s="4"/>
      <c r="C113" s="4"/>
      <c r="D113" s="4"/>
      <c r="E113" s="4"/>
      <c r="F113" s="4"/>
      <c r="G113" s="258" t="s">
        <v>611</v>
      </c>
      <c r="H113" s="258" t="s">
        <v>338</v>
      </c>
      <c r="I113" s="274" t="s">
        <v>770</v>
      </c>
      <c r="J113" s="257"/>
      <c r="K113" s="4"/>
    </row>
    <row r="114" spans="1:11" ht="12.75">
      <c r="A114" s="4"/>
      <c r="B114" s="4"/>
      <c r="C114" s="4"/>
      <c r="D114" s="4"/>
      <c r="E114" s="4"/>
      <c r="F114" s="4"/>
      <c r="G114" s="258" t="s">
        <v>771</v>
      </c>
      <c r="H114" s="258" t="s">
        <v>338</v>
      </c>
      <c r="I114" s="274" t="s">
        <v>772</v>
      </c>
      <c r="J114" s="257"/>
      <c r="K114" s="4"/>
    </row>
    <row r="115" spans="1:11" ht="12.75">
      <c r="A115" s="4"/>
      <c r="B115" s="4"/>
      <c r="C115" s="4"/>
      <c r="D115" s="4"/>
      <c r="E115" s="4"/>
      <c r="F115" s="4"/>
      <c r="G115" s="258" t="s">
        <v>553</v>
      </c>
      <c r="H115" s="258" t="s">
        <v>349</v>
      </c>
      <c r="I115" s="274" t="s">
        <v>773</v>
      </c>
      <c r="J115" s="257"/>
      <c r="K115" s="4"/>
    </row>
    <row r="116" spans="1:11" ht="12.75">
      <c r="A116" s="4"/>
      <c r="B116" s="4"/>
      <c r="C116" s="4"/>
      <c r="D116" s="4"/>
      <c r="E116" s="4"/>
      <c r="F116" s="4"/>
      <c r="G116" s="258" t="s">
        <v>774</v>
      </c>
      <c r="H116" s="258" t="s">
        <v>354</v>
      </c>
      <c r="I116" s="274" t="s">
        <v>775</v>
      </c>
      <c r="J116" s="257"/>
      <c r="K116" s="4"/>
    </row>
    <row r="117" spans="1:11" ht="12.75">
      <c r="A117" s="4"/>
      <c r="B117" s="4"/>
      <c r="C117" s="4"/>
      <c r="D117" s="4"/>
      <c r="E117" s="4"/>
      <c r="F117" s="4"/>
      <c r="G117" s="258" t="s">
        <v>776</v>
      </c>
      <c r="H117" s="258" t="s">
        <v>327</v>
      </c>
      <c r="I117" s="274" t="s">
        <v>777</v>
      </c>
      <c r="J117" s="257"/>
      <c r="K117" s="4"/>
    </row>
    <row r="118" spans="1:11" ht="12.75">
      <c r="A118" s="4"/>
      <c r="B118" s="4"/>
      <c r="C118" s="4"/>
      <c r="D118" s="4"/>
      <c r="E118" s="4"/>
      <c r="F118" s="4"/>
      <c r="G118" s="258" t="s">
        <v>199</v>
      </c>
      <c r="H118" s="258" t="s">
        <v>331</v>
      </c>
      <c r="I118" s="274" t="s">
        <v>778</v>
      </c>
      <c r="J118" s="257"/>
      <c r="K118" s="4"/>
    </row>
    <row r="119" spans="1:11" ht="12.75">
      <c r="A119" s="4"/>
      <c r="B119" s="4"/>
      <c r="C119" s="4"/>
      <c r="D119" s="4"/>
      <c r="E119" s="4"/>
      <c r="F119" s="4"/>
      <c r="G119" s="258" t="s">
        <v>779</v>
      </c>
      <c r="H119" s="258" t="s">
        <v>329</v>
      </c>
      <c r="I119" s="274" t="s">
        <v>780</v>
      </c>
      <c r="J119" s="257"/>
      <c r="K119" s="4"/>
    </row>
    <row r="120" spans="1:11" ht="12.75">
      <c r="A120" s="4"/>
      <c r="B120" s="4"/>
      <c r="C120" s="4"/>
      <c r="D120" s="4"/>
      <c r="E120" s="4"/>
      <c r="F120" s="4"/>
      <c r="G120" s="258" t="s">
        <v>200</v>
      </c>
      <c r="H120" s="258" t="s">
        <v>329</v>
      </c>
      <c r="I120" s="274" t="s">
        <v>781</v>
      </c>
      <c r="J120" s="257"/>
      <c r="K120" s="4"/>
    </row>
    <row r="121" spans="1:11" ht="12.75">
      <c r="A121" s="4"/>
      <c r="B121" s="4"/>
      <c r="C121" s="4"/>
      <c r="D121" s="4"/>
      <c r="E121" s="4"/>
      <c r="F121" s="4"/>
      <c r="G121" s="258" t="s">
        <v>782</v>
      </c>
      <c r="H121" s="258" t="s">
        <v>327</v>
      </c>
      <c r="I121" s="274" t="s">
        <v>783</v>
      </c>
      <c r="J121" s="257"/>
      <c r="K121" s="4"/>
    </row>
    <row r="122" spans="1:11" ht="12.75">
      <c r="A122" s="4"/>
      <c r="B122" s="4"/>
      <c r="C122" s="4"/>
      <c r="D122" s="4"/>
      <c r="E122" s="4"/>
      <c r="F122" s="4"/>
      <c r="G122" s="258" t="s">
        <v>1390</v>
      </c>
      <c r="H122" s="258" t="s">
        <v>352</v>
      </c>
      <c r="I122" s="274" t="s">
        <v>1391</v>
      </c>
      <c r="J122" s="257"/>
      <c r="K122" s="4"/>
    </row>
    <row r="123" spans="1:11" ht="12.75">
      <c r="A123" s="4"/>
      <c r="B123" s="4"/>
      <c r="C123" s="4"/>
      <c r="D123" s="4"/>
      <c r="E123" s="4"/>
      <c r="F123" s="4"/>
      <c r="G123" s="258" t="s">
        <v>201</v>
      </c>
      <c r="H123" s="258" t="s">
        <v>340</v>
      </c>
      <c r="I123" s="274" t="s">
        <v>784</v>
      </c>
      <c r="J123" s="257"/>
      <c r="K123" s="4"/>
    </row>
    <row r="124" spans="1:11" ht="12.75">
      <c r="A124" s="4"/>
      <c r="B124" s="4"/>
      <c r="C124" s="4"/>
      <c r="D124" s="4"/>
      <c r="E124" s="4"/>
      <c r="F124" s="4"/>
      <c r="G124" s="258" t="s">
        <v>612</v>
      </c>
      <c r="H124" s="258" t="s">
        <v>332</v>
      </c>
      <c r="I124" s="274" t="s">
        <v>785</v>
      </c>
      <c r="J124" s="257"/>
      <c r="K124" s="4"/>
    </row>
    <row r="125" spans="1:11" ht="12.75">
      <c r="A125" s="4"/>
      <c r="B125" s="4"/>
      <c r="C125" s="4"/>
      <c r="D125" s="4"/>
      <c r="E125" s="4"/>
      <c r="F125" s="4"/>
      <c r="G125" s="258" t="s">
        <v>202</v>
      </c>
      <c r="H125" s="258" t="s">
        <v>352</v>
      </c>
      <c r="I125" s="274" t="s">
        <v>786</v>
      </c>
      <c r="J125" s="257"/>
      <c r="K125" s="4"/>
    </row>
    <row r="126" spans="1:11" ht="12.75">
      <c r="A126" s="4"/>
      <c r="B126" s="4"/>
      <c r="C126" s="4"/>
      <c r="D126" s="4"/>
      <c r="E126" s="4"/>
      <c r="F126" s="4"/>
      <c r="G126" s="258" t="s">
        <v>787</v>
      </c>
      <c r="H126" s="258" t="s">
        <v>327</v>
      </c>
      <c r="I126" s="274" t="s">
        <v>788</v>
      </c>
      <c r="J126" s="257"/>
      <c r="K126" s="4"/>
    </row>
    <row r="127" spans="1:11" ht="12.75">
      <c r="A127" s="4"/>
      <c r="B127" s="4"/>
      <c r="C127" s="4"/>
      <c r="D127" s="4"/>
      <c r="E127" s="4"/>
      <c r="F127" s="4"/>
      <c r="G127" s="258" t="s">
        <v>1392</v>
      </c>
      <c r="H127" s="258" t="s">
        <v>330</v>
      </c>
      <c r="I127" s="274" t="s">
        <v>1393</v>
      </c>
      <c r="J127" s="257"/>
      <c r="K127" s="4"/>
    </row>
    <row r="128" spans="1:11" ht="12.75">
      <c r="A128" s="4"/>
      <c r="B128" s="4"/>
      <c r="C128" s="4"/>
      <c r="D128" s="4"/>
      <c r="E128" s="4"/>
      <c r="F128" s="4"/>
      <c r="G128" s="258" t="s">
        <v>373</v>
      </c>
      <c r="H128" s="258" t="s">
        <v>334</v>
      </c>
      <c r="I128" s="274" t="s">
        <v>789</v>
      </c>
      <c r="J128" s="257"/>
      <c r="K128" s="4"/>
    </row>
    <row r="129" spans="1:11" ht="12.75">
      <c r="A129" s="4"/>
      <c r="B129" s="4"/>
      <c r="C129" s="4"/>
      <c r="D129" s="4"/>
      <c r="E129" s="4"/>
      <c r="F129" s="4"/>
      <c r="G129" s="258" t="s">
        <v>203</v>
      </c>
      <c r="H129" s="258" t="s">
        <v>328</v>
      </c>
      <c r="I129" s="274" t="s">
        <v>790</v>
      </c>
      <c r="J129" s="257"/>
      <c r="K129" s="4"/>
    </row>
    <row r="130" spans="1:11" ht="12.75">
      <c r="A130" s="4"/>
      <c r="B130" s="4"/>
      <c r="C130" s="4"/>
      <c r="D130" s="4"/>
      <c r="E130" s="4"/>
      <c r="F130" s="4"/>
      <c r="G130" s="258" t="s">
        <v>374</v>
      </c>
      <c r="H130" s="258" t="s">
        <v>352</v>
      </c>
      <c r="I130" s="274" t="s">
        <v>791</v>
      </c>
      <c r="J130" s="257"/>
      <c r="K130" s="4"/>
    </row>
    <row r="131" spans="1:11" ht="12.75">
      <c r="A131" s="4"/>
      <c r="B131" s="4"/>
      <c r="C131" s="4"/>
      <c r="D131" s="4"/>
      <c r="E131" s="4"/>
      <c r="F131" s="4"/>
      <c r="G131" s="258" t="s">
        <v>792</v>
      </c>
      <c r="H131" s="258" t="s">
        <v>368</v>
      </c>
      <c r="I131" s="274" t="s">
        <v>793</v>
      </c>
      <c r="J131" s="257"/>
      <c r="K131" s="4"/>
    </row>
    <row r="132" spans="1:11" ht="12.75">
      <c r="A132" s="4"/>
      <c r="B132" s="4"/>
      <c r="C132" s="4"/>
      <c r="D132" s="4"/>
      <c r="E132" s="4"/>
      <c r="F132" s="4"/>
      <c r="G132" s="258" t="s">
        <v>613</v>
      </c>
      <c r="H132" s="258" t="s">
        <v>327</v>
      </c>
      <c r="I132" s="274" t="s">
        <v>794</v>
      </c>
      <c r="J132" s="257"/>
      <c r="K132" s="4"/>
    </row>
    <row r="133" spans="1:11" ht="12.75">
      <c r="A133" s="4"/>
      <c r="B133" s="4"/>
      <c r="C133" s="4"/>
      <c r="D133" s="4"/>
      <c r="E133" s="4"/>
      <c r="F133" s="4"/>
      <c r="G133" s="258" t="s">
        <v>204</v>
      </c>
      <c r="H133" s="258" t="s">
        <v>339</v>
      </c>
      <c r="I133" s="274" t="s">
        <v>795</v>
      </c>
      <c r="J133" s="257"/>
      <c r="K133" s="4"/>
    </row>
    <row r="134" spans="1:11" ht="12.75">
      <c r="A134" s="4"/>
      <c r="B134" s="4"/>
      <c r="C134" s="4"/>
      <c r="D134" s="4"/>
      <c r="E134" s="4"/>
      <c r="F134" s="4"/>
      <c r="G134" s="258" t="s">
        <v>375</v>
      </c>
      <c r="H134" s="258" t="s">
        <v>376</v>
      </c>
      <c r="I134" s="274" t="s">
        <v>796</v>
      </c>
      <c r="J134" s="257"/>
      <c r="K134" s="4"/>
    </row>
    <row r="135" spans="1:11" ht="12.75">
      <c r="A135" s="4"/>
      <c r="B135" s="4"/>
      <c r="C135" s="4"/>
      <c r="D135" s="4"/>
      <c r="E135" s="4"/>
      <c r="F135" s="4"/>
      <c r="G135" s="258" t="s">
        <v>797</v>
      </c>
      <c r="H135" s="258" t="s">
        <v>334</v>
      </c>
      <c r="I135" s="274" t="s">
        <v>798</v>
      </c>
      <c r="J135" s="257"/>
      <c r="K135" s="4"/>
    </row>
    <row r="136" spans="1:11" ht="12.75">
      <c r="A136" s="4"/>
      <c r="B136" s="4"/>
      <c r="C136" s="4"/>
      <c r="D136" s="4"/>
      <c r="E136" s="4"/>
      <c r="F136" s="4"/>
      <c r="G136" s="258" t="s">
        <v>799</v>
      </c>
      <c r="H136" s="258" t="s">
        <v>354</v>
      </c>
      <c r="I136" s="274" t="s">
        <v>800</v>
      </c>
      <c r="J136" s="257"/>
      <c r="K136" s="4"/>
    </row>
    <row r="137" spans="1:11" ht="12.75">
      <c r="A137" s="4"/>
      <c r="B137" s="4"/>
      <c r="C137" s="4"/>
      <c r="D137" s="4"/>
      <c r="E137" s="4"/>
      <c r="F137" s="4"/>
      <c r="G137" s="258" t="s">
        <v>554</v>
      </c>
      <c r="H137" s="258" t="s">
        <v>329</v>
      </c>
      <c r="I137" s="274" t="s">
        <v>801</v>
      </c>
      <c r="J137" s="257"/>
      <c r="K137" s="4"/>
    </row>
    <row r="138" spans="1:11" ht="12.75">
      <c r="A138" s="4"/>
      <c r="B138" s="4"/>
      <c r="C138" s="4"/>
      <c r="D138" s="4"/>
      <c r="E138" s="4"/>
      <c r="F138" s="4"/>
      <c r="G138" s="258" t="s">
        <v>205</v>
      </c>
      <c r="H138" s="258" t="s">
        <v>347</v>
      </c>
      <c r="I138" s="274" t="s">
        <v>802</v>
      </c>
      <c r="J138" s="257"/>
      <c r="K138" s="4"/>
    </row>
    <row r="139" spans="1:11" ht="12.75">
      <c r="A139" s="4"/>
      <c r="B139" s="4"/>
      <c r="C139" s="4"/>
      <c r="D139" s="4"/>
      <c r="E139" s="4"/>
      <c r="F139" s="4"/>
      <c r="G139" s="258" t="s">
        <v>803</v>
      </c>
      <c r="H139" s="258" t="s">
        <v>332</v>
      </c>
      <c r="I139" s="274" t="s">
        <v>804</v>
      </c>
      <c r="J139" s="257"/>
      <c r="K139" s="4"/>
    </row>
    <row r="140" spans="1:11" ht="12.75">
      <c r="A140" s="4"/>
      <c r="B140" s="4"/>
      <c r="C140" s="4"/>
      <c r="D140" s="4"/>
      <c r="E140" s="4"/>
      <c r="F140" s="4"/>
      <c r="G140" s="258" t="s">
        <v>1338</v>
      </c>
      <c r="H140" s="258" t="s">
        <v>339</v>
      </c>
      <c r="I140" s="274" t="s">
        <v>1339</v>
      </c>
      <c r="J140" s="257"/>
      <c r="K140" s="4"/>
    </row>
    <row r="141" spans="1:11" ht="12.75">
      <c r="A141" s="4"/>
      <c r="B141" s="4"/>
      <c r="C141" s="4"/>
      <c r="D141" s="4"/>
      <c r="E141" s="4"/>
      <c r="F141" s="4"/>
      <c r="G141" s="258" t="s">
        <v>206</v>
      </c>
      <c r="H141" s="258" t="s">
        <v>343</v>
      </c>
      <c r="I141" s="274" t="s">
        <v>805</v>
      </c>
      <c r="J141" s="257"/>
      <c r="K141" s="4"/>
    </row>
    <row r="142" spans="1:11" ht="12.75">
      <c r="A142" s="4"/>
      <c r="B142" s="4"/>
      <c r="C142" s="4"/>
      <c r="D142" s="4"/>
      <c r="E142" s="4"/>
      <c r="F142" s="4"/>
      <c r="G142" s="258" t="s">
        <v>614</v>
      </c>
      <c r="H142" s="258" t="s">
        <v>349</v>
      </c>
      <c r="I142" s="274" t="s">
        <v>806</v>
      </c>
      <c r="J142" s="257"/>
      <c r="K142" s="4"/>
    </row>
    <row r="143" spans="1:11" ht="12.75">
      <c r="A143" s="4"/>
      <c r="B143" s="4"/>
      <c r="C143" s="4"/>
      <c r="D143" s="4"/>
      <c r="E143" s="4"/>
      <c r="F143" s="4"/>
      <c r="G143" s="258" t="s">
        <v>1394</v>
      </c>
      <c r="H143" s="258" t="s">
        <v>376</v>
      </c>
      <c r="I143" s="274" t="s">
        <v>1395</v>
      </c>
      <c r="J143" s="257"/>
      <c r="K143" s="4"/>
    </row>
    <row r="144" spans="1:11" ht="12.75">
      <c r="A144" s="4"/>
      <c r="B144" s="4"/>
      <c r="C144" s="4"/>
      <c r="D144" s="4"/>
      <c r="E144" s="4"/>
      <c r="F144" s="4"/>
      <c r="G144" s="258" t="s">
        <v>807</v>
      </c>
      <c r="H144" s="258" t="s">
        <v>332</v>
      </c>
      <c r="I144" s="274" t="s">
        <v>808</v>
      </c>
      <c r="J144" s="257"/>
      <c r="K144" s="4"/>
    </row>
    <row r="145" spans="1:11" ht="12.75">
      <c r="A145" s="4"/>
      <c r="B145" s="4"/>
      <c r="C145" s="4"/>
      <c r="D145" s="4"/>
      <c r="E145" s="4"/>
      <c r="F145" s="4"/>
      <c r="G145" s="258" t="s">
        <v>809</v>
      </c>
      <c r="H145" s="258" t="s">
        <v>332</v>
      </c>
      <c r="I145" s="274" t="s">
        <v>810</v>
      </c>
      <c r="J145" s="257"/>
      <c r="K145" s="4"/>
    </row>
    <row r="146" spans="1:11" ht="12.75">
      <c r="A146" s="4"/>
      <c r="B146" s="4"/>
      <c r="C146" s="4"/>
      <c r="D146" s="4"/>
      <c r="E146" s="4"/>
      <c r="F146" s="4"/>
      <c r="G146" s="258" t="s">
        <v>377</v>
      </c>
      <c r="H146" s="258" t="s">
        <v>340</v>
      </c>
      <c r="I146" s="274" t="s">
        <v>811</v>
      </c>
      <c r="J146" s="257"/>
      <c r="K146" s="4"/>
    </row>
    <row r="147" spans="1:11" ht="12.75">
      <c r="A147" s="4"/>
      <c r="B147" s="4"/>
      <c r="C147" s="4"/>
      <c r="D147" s="4"/>
      <c r="E147" s="4"/>
      <c r="F147" s="4"/>
      <c r="G147" s="258" t="s">
        <v>1396</v>
      </c>
      <c r="H147" s="258" t="s">
        <v>349</v>
      </c>
      <c r="I147" s="274" t="s">
        <v>1397</v>
      </c>
      <c r="J147" s="257"/>
      <c r="K147" s="4"/>
    </row>
    <row r="148" spans="1:11" ht="12.75">
      <c r="A148" s="4"/>
      <c r="B148" s="4"/>
      <c r="C148" s="4"/>
      <c r="D148" s="4"/>
      <c r="E148" s="4"/>
      <c r="F148" s="4"/>
      <c r="G148" s="258" t="s">
        <v>207</v>
      </c>
      <c r="H148" s="258" t="s">
        <v>328</v>
      </c>
      <c r="I148" s="274" t="s">
        <v>812</v>
      </c>
      <c r="J148" s="257"/>
      <c r="K148" s="4"/>
    </row>
    <row r="149" spans="1:11" ht="12.75">
      <c r="A149" s="4"/>
      <c r="B149" s="4"/>
      <c r="C149" s="4"/>
      <c r="D149" s="4"/>
      <c r="E149" s="4"/>
      <c r="F149" s="4"/>
      <c r="G149" s="258" t="s">
        <v>208</v>
      </c>
      <c r="H149" s="258" t="s">
        <v>327</v>
      </c>
      <c r="I149" s="274" t="s">
        <v>813</v>
      </c>
      <c r="J149" s="257"/>
      <c r="K149" s="4"/>
    </row>
    <row r="150" spans="1:11" ht="12.75">
      <c r="A150" s="4"/>
      <c r="B150" s="4"/>
      <c r="C150" s="4"/>
      <c r="D150" s="4"/>
      <c r="E150" s="4"/>
      <c r="F150" s="4"/>
      <c r="G150" s="258" t="s">
        <v>814</v>
      </c>
      <c r="H150" s="258" t="s">
        <v>327</v>
      </c>
      <c r="I150" s="274" t="s">
        <v>815</v>
      </c>
      <c r="J150" s="257"/>
      <c r="K150" s="4"/>
    </row>
    <row r="151" spans="1:11" ht="12.75">
      <c r="A151" s="4"/>
      <c r="B151" s="4"/>
      <c r="C151" s="4"/>
      <c r="D151" s="4"/>
      <c r="E151" s="4"/>
      <c r="F151" s="4"/>
      <c r="G151" s="258" t="s">
        <v>378</v>
      </c>
      <c r="H151" s="258" t="s">
        <v>365</v>
      </c>
      <c r="I151" s="274" t="s">
        <v>816</v>
      </c>
      <c r="J151" s="257"/>
      <c r="K151" s="4"/>
    </row>
    <row r="152" spans="1:11" ht="12.75">
      <c r="A152" s="4"/>
      <c r="B152" s="4"/>
      <c r="C152" s="4"/>
      <c r="D152" s="4"/>
      <c r="E152" s="4"/>
      <c r="F152" s="4"/>
      <c r="G152" s="258" t="s">
        <v>615</v>
      </c>
      <c r="H152" s="258" t="s">
        <v>548</v>
      </c>
      <c r="I152" s="274" t="s">
        <v>817</v>
      </c>
      <c r="J152" s="257"/>
      <c r="K152" s="4"/>
    </row>
    <row r="153" spans="1:11" ht="12.75">
      <c r="A153" s="4"/>
      <c r="B153" s="4"/>
      <c r="C153" s="4"/>
      <c r="D153" s="4"/>
      <c r="E153" s="4"/>
      <c r="F153" s="4"/>
      <c r="G153" s="258" t="s">
        <v>818</v>
      </c>
      <c r="H153" s="258" t="s">
        <v>347</v>
      </c>
      <c r="I153" s="274" t="s">
        <v>819</v>
      </c>
      <c r="J153" s="257"/>
      <c r="K153" s="4"/>
    </row>
    <row r="154" spans="1:11" ht="12.75">
      <c r="A154" s="4"/>
      <c r="B154" s="4"/>
      <c r="C154" s="4"/>
      <c r="D154" s="4"/>
      <c r="E154" s="4"/>
      <c r="F154" s="4"/>
      <c r="G154" s="258" t="s">
        <v>820</v>
      </c>
      <c r="H154" s="258" t="s">
        <v>347</v>
      </c>
      <c r="I154" s="274" t="s">
        <v>821</v>
      </c>
      <c r="J154" s="257"/>
      <c r="K154" s="4"/>
    </row>
    <row r="155" spans="1:11" ht="12.75">
      <c r="A155" s="4"/>
      <c r="B155" s="4"/>
      <c r="C155" s="4"/>
      <c r="D155" s="4"/>
      <c r="E155" s="4"/>
      <c r="F155" s="4"/>
      <c r="G155" s="258" t="s">
        <v>822</v>
      </c>
      <c r="H155" s="258" t="s">
        <v>340</v>
      </c>
      <c r="I155" s="274" t="s">
        <v>823</v>
      </c>
      <c r="J155" s="257"/>
      <c r="K155" s="4"/>
    </row>
    <row r="156" spans="1:11" ht="12.75">
      <c r="A156" s="4"/>
      <c r="B156" s="4"/>
      <c r="C156" s="4"/>
      <c r="D156" s="4"/>
      <c r="E156" s="4"/>
      <c r="F156" s="4"/>
      <c r="G156" s="258" t="s">
        <v>209</v>
      </c>
      <c r="H156" s="258" t="s">
        <v>340</v>
      </c>
      <c r="I156" s="274" t="s">
        <v>824</v>
      </c>
      <c r="J156" s="257"/>
      <c r="K156" s="4"/>
    </row>
    <row r="157" spans="1:11" ht="12.75">
      <c r="A157" s="4"/>
      <c r="B157" s="4"/>
      <c r="C157" s="4"/>
      <c r="D157" s="4"/>
      <c r="E157" s="4"/>
      <c r="F157" s="4"/>
      <c r="G157" s="258" t="s">
        <v>1398</v>
      </c>
      <c r="H157" s="258" t="s">
        <v>330</v>
      </c>
      <c r="I157" s="274" t="s">
        <v>1399</v>
      </c>
      <c r="J157" s="257"/>
      <c r="K157" s="4"/>
    </row>
    <row r="158" spans="1:11" ht="12.75">
      <c r="A158" s="4"/>
      <c r="B158" s="4"/>
      <c r="C158" s="4"/>
      <c r="D158" s="4"/>
      <c r="E158" s="4"/>
      <c r="F158" s="4"/>
      <c r="G158" s="258" t="s">
        <v>1400</v>
      </c>
      <c r="H158" s="258" t="s">
        <v>343</v>
      </c>
      <c r="I158" s="274" t="s">
        <v>1401</v>
      </c>
      <c r="J158" s="257"/>
      <c r="K158" s="4"/>
    </row>
    <row r="159" spans="1:11" ht="12.75">
      <c r="A159" s="4"/>
      <c r="B159" s="4"/>
      <c r="C159" s="4"/>
      <c r="D159" s="4"/>
      <c r="E159" s="4"/>
      <c r="F159" s="4"/>
      <c r="G159" s="258" t="s">
        <v>616</v>
      </c>
      <c r="H159" s="258" t="s">
        <v>328</v>
      </c>
      <c r="I159" s="274" t="s">
        <v>825</v>
      </c>
      <c r="J159" s="257"/>
      <c r="K159" s="4"/>
    </row>
    <row r="160" spans="1:11" ht="12.75">
      <c r="A160" s="4"/>
      <c r="B160" s="4"/>
      <c r="C160" s="4"/>
      <c r="D160" s="4"/>
      <c r="E160" s="4"/>
      <c r="F160" s="4"/>
      <c r="G160" s="258" t="s">
        <v>555</v>
      </c>
      <c r="H160" s="258" t="s">
        <v>352</v>
      </c>
      <c r="I160" s="274" t="s">
        <v>826</v>
      </c>
      <c r="J160" s="257"/>
      <c r="K160" s="4"/>
    </row>
    <row r="161" spans="1:11" ht="12.75">
      <c r="A161" s="4"/>
      <c r="B161" s="4"/>
      <c r="C161" s="4"/>
      <c r="D161" s="4"/>
      <c r="E161" s="4"/>
      <c r="F161" s="4"/>
      <c r="G161" s="258" t="s">
        <v>379</v>
      </c>
      <c r="H161" s="258" t="s">
        <v>343</v>
      </c>
      <c r="I161" s="274" t="s">
        <v>827</v>
      </c>
      <c r="J161" s="257"/>
      <c r="K161" s="4"/>
    </row>
    <row r="162" spans="1:11" ht="12.75">
      <c r="A162" s="4"/>
      <c r="B162" s="4"/>
      <c r="C162" s="4"/>
      <c r="D162" s="4"/>
      <c r="E162" s="4"/>
      <c r="F162" s="4"/>
      <c r="G162" s="258" t="s">
        <v>1402</v>
      </c>
      <c r="H162" s="258" t="s">
        <v>376</v>
      </c>
      <c r="I162" s="274" t="s">
        <v>1403</v>
      </c>
      <c r="J162" s="257"/>
      <c r="K162" s="4"/>
    </row>
    <row r="163" spans="1:11" ht="12.75">
      <c r="A163" s="4"/>
      <c r="B163" s="4"/>
      <c r="C163" s="4"/>
      <c r="D163" s="4"/>
      <c r="E163" s="4"/>
      <c r="F163" s="4"/>
      <c r="G163" s="258" t="s">
        <v>617</v>
      </c>
      <c r="H163" s="258" t="s">
        <v>354</v>
      </c>
      <c r="I163" s="274" t="s">
        <v>828</v>
      </c>
      <c r="J163" s="257"/>
      <c r="K163" s="4"/>
    </row>
    <row r="164" spans="1:11" ht="12.75">
      <c r="A164" s="4"/>
      <c r="B164" s="4"/>
      <c r="C164" s="4"/>
      <c r="D164" s="4"/>
      <c r="E164" s="4"/>
      <c r="F164" s="4"/>
      <c r="G164" s="258" t="s">
        <v>380</v>
      </c>
      <c r="H164" s="258" t="s">
        <v>327</v>
      </c>
      <c r="I164" s="274" t="s">
        <v>829</v>
      </c>
      <c r="J164" s="257"/>
      <c r="K164" s="4"/>
    </row>
    <row r="165" spans="1:11" ht="12.75">
      <c r="A165" s="4"/>
      <c r="B165" s="4"/>
      <c r="C165" s="4"/>
      <c r="D165" s="4"/>
      <c r="E165" s="4"/>
      <c r="F165" s="4"/>
      <c r="G165" s="258" t="s">
        <v>830</v>
      </c>
      <c r="H165" s="258" t="s">
        <v>339</v>
      </c>
      <c r="I165" s="274" t="s">
        <v>831</v>
      </c>
      <c r="J165" s="257"/>
      <c r="K165" s="4"/>
    </row>
    <row r="166" spans="1:11" ht="12.75">
      <c r="A166" s="4"/>
      <c r="B166" s="4"/>
      <c r="C166" s="4"/>
      <c r="D166" s="4"/>
      <c r="E166" s="4"/>
      <c r="F166" s="4"/>
      <c r="G166" s="258" t="s">
        <v>381</v>
      </c>
      <c r="H166" s="258" t="s">
        <v>334</v>
      </c>
      <c r="I166" s="274" t="s">
        <v>832</v>
      </c>
      <c r="J166" s="257"/>
      <c r="K166" s="4"/>
    </row>
    <row r="167" spans="1:11" ht="12.75">
      <c r="A167" s="4"/>
      <c r="B167" s="4"/>
      <c r="C167" s="4"/>
      <c r="D167" s="4"/>
      <c r="E167" s="4"/>
      <c r="F167" s="4"/>
      <c r="G167" s="258" t="s">
        <v>833</v>
      </c>
      <c r="H167" s="258" t="s">
        <v>330</v>
      </c>
      <c r="I167" s="274" t="s">
        <v>834</v>
      </c>
      <c r="J167" s="257"/>
      <c r="K167" s="4"/>
    </row>
    <row r="168" spans="1:11" ht="12.75">
      <c r="A168" s="4"/>
      <c r="B168" s="4"/>
      <c r="C168" s="4"/>
      <c r="D168" s="4"/>
      <c r="E168" s="4"/>
      <c r="F168" s="4"/>
      <c r="G168" s="258" t="s">
        <v>382</v>
      </c>
      <c r="H168" s="258" t="s">
        <v>367</v>
      </c>
      <c r="I168" s="274" t="s">
        <v>835</v>
      </c>
      <c r="J168" s="257"/>
      <c r="K168" s="4"/>
    </row>
    <row r="169" spans="1:11" ht="12.75">
      <c r="A169" s="4"/>
      <c r="B169" s="4"/>
      <c r="C169" s="4"/>
      <c r="D169" s="4"/>
      <c r="E169" s="4"/>
      <c r="F169" s="4"/>
      <c r="G169" s="258" t="s">
        <v>618</v>
      </c>
      <c r="H169" s="258" t="s">
        <v>354</v>
      </c>
      <c r="I169" s="274" t="s">
        <v>836</v>
      </c>
      <c r="J169" s="257"/>
      <c r="K169" s="4"/>
    </row>
    <row r="170" spans="1:11" ht="12.75">
      <c r="A170" s="4"/>
      <c r="B170" s="4"/>
      <c r="C170" s="4"/>
      <c r="D170" s="4"/>
      <c r="E170" s="4"/>
      <c r="F170" s="4"/>
      <c r="G170" s="258" t="s">
        <v>383</v>
      </c>
      <c r="H170" s="258" t="s">
        <v>354</v>
      </c>
      <c r="I170" s="274" t="s">
        <v>837</v>
      </c>
      <c r="J170" s="257"/>
      <c r="K170" s="4"/>
    </row>
    <row r="171" spans="1:11" ht="12.75">
      <c r="A171" s="4"/>
      <c r="B171" s="4"/>
      <c r="C171" s="4"/>
      <c r="D171" s="4"/>
      <c r="E171" s="4"/>
      <c r="F171" s="4"/>
      <c r="G171" s="258" t="s">
        <v>384</v>
      </c>
      <c r="H171" s="258" t="s">
        <v>368</v>
      </c>
      <c r="I171" s="274" t="s">
        <v>838</v>
      </c>
      <c r="J171" s="257"/>
      <c r="K171" s="4"/>
    </row>
    <row r="172" spans="1:11" ht="12.75">
      <c r="A172" s="4"/>
      <c r="B172" s="4"/>
      <c r="C172" s="4"/>
      <c r="D172" s="4"/>
      <c r="E172" s="4"/>
      <c r="F172" s="4"/>
      <c r="G172" s="258" t="s">
        <v>385</v>
      </c>
      <c r="H172" s="258" t="s">
        <v>354</v>
      </c>
      <c r="I172" s="274" t="s">
        <v>839</v>
      </c>
      <c r="J172" s="257"/>
      <c r="K172" s="4"/>
    </row>
    <row r="173" spans="1:11" ht="12.75">
      <c r="A173" s="4"/>
      <c r="B173" s="4"/>
      <c r="C173" s="4"/>
      <c r="D173" s="4"/>
      <c r="E173" s="4"/>
      <c r="F173" s="4"/>
      <c r="G173" s="258" t="s">
        <v>386</v>
      </c>
      <c r="H173" s="258" t="s">
        <v>331</v>
      </c>
      <c r="I173" s="274" t="s">
        <v>840</v>
      </c>
      <c r="J173" s="257"/>
      <c r="K173" s="4"/>
    </row>
    <row r="174" spans="1:11" ht="12.75">
      <c r="A174" s="4"/>
      <c r="B174" s="4"/>
      <c r="C174" s="4"/>
      <c r="D174" s="4"/>
      <c r="E174" s="4"/>
      <c r="F174" s="4"/>
      <c r="G174" s="258" t="s">
        <v>841</v>
      </c>
      <c r="H174" s="258" t="s">
        <v>349</v>
      </c>
      <c r="I174" s="274" t="s">
        <v>842</v>
      </c>
      <c r="J174" s="257"/>
      <c r="K174" s="4"/>
    </row>
    <row r="175" spans="1:11" ht="12.75">
      <c r="A175" s="4"/>
      <c r="B175" s="4"/>
      <c r="C175" s="4"/>
      <c r="D175" s="4"/>
      <c r="E175" s="4"/>
      <c r="F175" s="4"/>
      <c r="G175" s="258" t="s">
        <v>843</v>
      </c>
      <c r="H175" s="258" t="s">
        <v>352</v>
      </c>
      <c r="I175" s="274" t="s">
        <v>844</v>
      </c>
      <c r="J175" s="257"/>
      <c r="K175" s="4"/>
    </row>
    <row r="176" spans="1:11" ht="12.75">
      <c r="A176" s="4"/>
      <c r="B176" s="4"/>
      <c r="C176" s="4"/>
      <c r="D176" s="4"/>
      <c r="E176" s="4"/>
      <c r="F176" s="4"/>
      <c r="G176" s="258" t="s">
        <v>210</v>
      </c>
      <c r="H176" s="258" t="s">
        <v>327</v>
      </c>
      <c r="I176" s="274" t="s">
        <v>845</v>
      </c>
      <c r="J176" s="257"/>
      <c r="K176" s="4"/>
    </row>
    <row r="177" spans="1:11" ht="12.75">
      <c r="A177" s="4"/>
      <c r="B177" s="4"/>
      <c r="C177" s="4"/>
      <c r="D177" s="4"/>
      <c r="E177" s="4"/>
      <c r="F177" s="4"/>
      <c r="G177" s="258" t="s">
        <v>1404</v>
      </c>
      <c r="H177" s="258" t="s">
        <v>349</v>
      </c>
      <c r="I177" s="274" t="s">
        <v>1405</v>
      </c>
      <c r="J177" s="257"/>
      <c r="K177" s="4"/>
    </row>
    <row r="178" spans="1:11" ht="12.75">
      <c r="A178" s="4"/>
      <c r="B178" s="4"/>
      <c r="C178" s="4"/>
      <c r="D178" s="4"/>
      <c r="E178" s="4"/>
      <c r="F178" s="4"/>
      <c r="G178" s="258" t="s">
        <v>1406</v>
      </c>
      <c r="H178" s="258" t="s">
        <v>334</v>
      </c>
      <c r="I178" s="274" t="s">
        <v>1407</v>
      </c>
      <c r="J178" s="257"/>
      <c r="K178" s="4"/>
    </row>
    <row r="179" spans="1:11" ht="12.75">
      <c r="A179" s="4"/>
      <c r="B179" s="4"/>
      <c r="C179" s="4"/>
      <c r="D179" s="4"/>
      <c r="E179" s="4"/>
      <c r="F179" s="4"/>
      <c r="G179" s="258" t="s">
        <v>387</v>
      </c>
      <c r="H179" s="258" t="s">
        <v>339</v>
      </c>
      <c r="I179" s="274" t="s">
        <v>846</v>
      </c>
      <c r="J179" s="257"/>
      <c r="K179" s="4"/>
    </row>
    <row r="180" spans="1:11" ht="12.75">
      <c r="A180" s="4"/>
      <c r="B180" s="4"/>
      <c r="C180" s="4"/>
      <c r="D180" s="4"/>
      <c r="E180" s="4"/>
      <c r="F180" s="4"/>
      <c r="G180" s="258" t="s">
        <v>1408</v>
      </c>
      <c r="H180" s="258" t="s">
        <v>329</v>
      </c>
      <c r="I180" s="274" t="s">
        <v>1409</v>
      </c>
      <c r="J180" s="257"/>
      <c r="K180" s="4"/>
    </row>
    <row r="181" spans="1:11" ht="12.75">
      <c r="A181" s="4"/>
      <c r="B181" s="4"/>
      <c r="C181" s="4"/>
      <c r="D181" s="4"/>
      <c r="E181" s="4"/>
      <c r="F181" s="4"/>
      <c r="G181" s="258" t="s">
        <v>847</v>
      </c>
      <c r="H181" s="258" t="s">
        <v>376</v>
      </c>
      <c r="I181" s="274" t="s">
        <v>848</v>
      </c>
      <c r="J181" s="257"/>
      <c r="K181" s="4"/>
    </row>
    <row r="182" spans="1:11" ht="12.75">
      <c r="A182" s="4"/>
      <c r="B182" s="4"/>
      <c r="C182" s="4"/>
      <c r="D182" s="4"/>
      <c r="E182" s="4"/>
      <c r="F182" s="4"/>
      <c r="G182" s="258" t="s">
        <v>619</v>
      </c>
      <c r="H182" s="258" t="s">
        <v>354</v>
      </c>
      <c r="I182" s="274" t="s">
        <v>849</v>
      </c>
      <c r="J182" s="257"/>
      <c r="K182" s="4"/>
    </row>
    <row r="183" spans="1:11" ht="12.75">
      <c r="A183" s="4"/>
      <c r="B183" s="4"/>
      <c r="C183" s="4"/>
      <c r="D183" s="4"/>
      <c r="E183" s="4"/>
      <c r="F183" s="4"/>
      <c r="G183" s="258" t="s">
        <v>620</v>
      </c>
      <c r="H183" s="258" t="s">
        <v>354</v>
      </c>
      <c r="I183" s="274" t="s">
        <v>850</v>
      </c>
      <c r="J183" s="257"/>
      <c r="K183" s="4"/>
    </row>
    <row r="184" spans="1:11" ht="12.75">
      <c r="A184" s="4"/>
      <c r="B184" s="4"/>
      <c r="C184" s="4"/>
      <c r="D184" s="4"/>
      <c r="E184" s="4"/>
      <c r="F184" s="4"/>
      <c r="G184" s="258" t="s">
        <v>621</v>
      </c>
      <c r="H184" s="258" t="s">
        <v>347</v>
      </c>
      <c r="I184" s="274" t="s">
        <v>851</v>
      </c>
      <c r="J184" s="257"/>
      <c r="K184" s="4"/>
    </row>
    <row r="185" spans="1:11" ht="12.75">
      <c r="A185" s="4"/>
      <c r="B185" s="4"/>
      <c r="C185" s="4"/>
      <c r="D185" s="4"/>
      <c r="E185" s="4"/>
      <c r="F185" s="4"/>
      <c r="G185" s="258" t="s">
        <v>388</v>
      </c>
      <c r="H185" s="258" t="s">
        <v>331</v>
      </c>
      <c r="I185" s="274" t="s">
        <v>852</v>
      </c>
      <c r="J185" s="257"/>
      <c r="K185" s="4"/>
    </row>
    <row r="186" spans="1:11" ht="12.75">
      <c r="A186" s="4"/>
      <c r="B186" s="4"/>
      <c r="C186" s="4"/>
      <c r="D186" s="4"/>
      <c r="E186" s="4"/>
      <c r="F186" s="4"/>
      <c r="G186" s="258" t="s">
        <v>389</v>
      </c>
      <c r="H186" s="258" t="s">
        <v>330</v>
      </c>
      <c r="I186" s="274" t="s">
        <v>853</v>
      </c>
      <c r="J186" s="257"/>
      <c r="K186" s="4"/>
    </row>
    <row r="187" spans="1:11" ht="12.75">
      <c r="A187" s="4"/>
      <c r="B187" s="4"/>
      <c r="C187" s="4"/>
      <c r="D187" s="4"/>
      <c r="E187" s="4"/>
      <c r="F187" s="4"/>
      <c r="G187" s="258" t="s">
        <v>390</v>
      </c>
      <c r="H187" s="258" t="s">
        <v>340</v>
      </c>
      <c r="I187" s="274" t="s">
        <v>854</v>
      </c>
      <c r="J187" s="257"/>
      <c r="K187" s="4"/>
    </row>
    <row r="188" spans="1:11" ht="12.75">
      <c r="A188" s="4"/>
      <c r="B188" s="4"/>
      <c r="C188" s="4"/>
      <c r="D188" s="4"/>
      <c r="E188" s="4"/>
      <c r="F188" s="4"/>
      <c r="G188" s="258" t="s">
        <v>211</v>
      </c>
      <c r="H188" s="258" t="s">
        <v>330</v>
      </c>
      <c r="I188" s="274" t="s">
        <v>855</v>
      </c>
      <c r="J188" s="257"/>
      <c r="K188" s="4"/>
    </row>
    <row r="189" spans="1:11" ht="12.75">
      <c r="A189" s="4"/>
      <c r="B189" s="4"/>
      <c r="C189" s="4"/>
      <c r="D189" s="4"/>
      <c r="E189" s="4"/>
      <c r="F189" s="4"/>
      <c r="G189" s="258" t="s">
        <v>391</v>
      </c>
      <c r="H189" s="258" t="s">
        <v>340</v>
      </c>
      <c r="I189" s="274" t="s">
        <v>856</v>
      </c>
      <c r="J189" s="257"/>
      <c r="K189" s="4"/>
    </row>
    <row r="190" spans="1:11" ht="12.75">
      <c r="A190" s="4"/>
      <c r="B190" s="4"/>
      <c r="C190" s="4"/>
      <c r="D190" s="4"/>
      <c r="E190" s="4"/>
      <c r="F190" s="4"/>
      <c r="G190" s="258" t="s">
        <v>392</v>
      </c>
      <c r="H190" s="258" t="s">
        <v>352</v>
      </c>
      <c r="I190" s="274" t="s">
        <v>857</v>
      </c>
      <c r="J190" s="257"/>
      <c r="K190" s="4"/>
    </row>
    <row r="191" spans="1:11" ht="12.75">
      <c r="A191" s="4"/>
      <c r="B191" s="4"/>
      <c r="C191" s="4"/>
      <c r="D191" s="4"/>
      <c r="E191" s="4"/>
      <c r="F191" s="4"/>
      <c r="G191" s="258" t="s">
        <v>858</v>
      </c>
      <c r="H191" s="258" t="s">
        <v>343</v>
      </c>
      <c r="I191" s="274" t="s">
        <v>859</v>
      </c>
      <c r="J191" s="257"/>
      <c r="K191" s="4"/>
    </row>
    <row r="192" spans="1:11" ht="12.75">
      <c r="A192" s="4"/>
      <c r="B192" s="4"/>
      <c r="C192" s="4"/>
      <c r="D192" s="4"/>
      <c r="E192" s="4"/>
      <c r="F192" s="4"/>
      <c r="G192" s="258" t="s">
        <v>393</v>
      </c>
      <c r="H192" s="258" t="s">
        <v>347</v>
      </c>
      <c r="I192" s="274" t="s">
        <v>860</v>
      </c>
      <c r="J192" s="257"/>
      <c r="K192" s="4"/>
    </row>
    <row r="193" spans="1:11" ht="12.75">
      <c r="A193" s="4"/>
      <c r="B193" s="4"/>
      <c r="C193" s="4"/>
      <c r="D193" s="4"/>
      <c r="E193" s="4"/>
      <c r="F193" s="4"/>
      <c r="G193" s="258" t="s">
        <v>212</v>
      </c>
      <c r="H193" s="258" t="s">
        <v>352</v>
      </c>
      <c r="I193" s="274" t="s">
        <v>861</v>
      </c>
      <c r="J193" s="257"/>
      <c r="K193" s="4"/>
    </row>
    <row r="194" spans="1:11" ht="12.75">
      <c r="A194" s="4"/>
      <c r="B194" s="4"/>
      <c r="C194" s="4"/>
      <c r="D194" s="4"/>
      <c r="E194" s="4"/>
      <c r="F194" s="4"/>
      <c r="G194" s="258" t="s">
        <v>862</v>
      </c>
      <c r="H194" s="258" t="s">
        <v>339</v>
      </c>
      <c r="I194" s="274" t="s">
        <v>863</v>
      </c>
      <c r="J194" s="257"/>
      <c r="K194" s="4"/>
    </row>
    <row r="195" spans="1:11" ht="12.75">
      <c r="A195" s="4"/>
      <c r="B195" s="4"/>
      <c r="C195" s="4"/>
      <c r="D195" s="4"/>
      <c r="E195" s="4"/>
      <c r="F195" s="4"/>
      <c r="G195" s="258" t="s">
        <v>864</v>
      </c>
      <c r="H195" s="258" t="s">
        <v>334</v>
      </c>
      <c r="I195" s="274" t="s">
        <v>865</v>
      </c>
      <c r="J195" s="257"/>
      <c r="K195" s="4"/>
    </row>
    <row r="196" spans="1:11" ht="12.75">
      <c r="A196" s="4"/>
      <c r="B196" s="4"/>
      <c r="C196" s="4"/>
      <c r="D196" s="4"/>
      <c r="E196" s="4"/>
      <c r="F196" s="4"/>
      <c r="G196" s="258" t="s">
        <v>866</v>
      </c>
      <c r="H196" s="258" t="s">
        <v>329</v>
      </c>
      <c r="I196" s="274" t="s">
        <v>867</v>
      </c>
      <c r="J196" s="257"/>
      <c r="K196" s="4"/>
    </row>
    <row r="197" spans="1:11" ht="12.75">
      <c r="A197" s="4"/>
      <c r="B197" s="4"/>
      <c r="C197" s="4"/>
      <c r="D197" s="4"/>
      <c r="E197" s="4"/>
      <c r="F197" s="4"/>
      <c r="G197" s="258" t="s">
        <v>394</v>
      </c>
      <c r="H197" s="258" t="s">
        <v>329</v>
      </c>
      <c r="I197" s="274" t="s">
        <v>868</v>
      </c>
      <c r="J197" s="257"/>
      <c r="K197" s="4"/>
    </row>
    <row r="198" spans="1:11" ht="12.75">
      <c r="A198" s="4"/>
      <c r="B198" s="4"/>
      <c r="C198" s="4"/>
      <c r="D198" s="4"/>
      <c r="E198" s="4"/>
      <c r="F198" s="4"/>
      <c r="G198" s="258" t="s">
        <v>869</v>
      </c>
      <c r="H198" s="258" t="s">
        <v>332</v>
      </c>
      <c r="I198" s="274" t="s">
        <v>870</v>
      </c>
      <c r="J198" s="257"/>
      <c r="K198" s="4"/>
    </row>
    <row r="199" spans="1:11" ht="12.75">
      <c r="A199" s="4"/>
      <c r="B199" s="4"/>
      <c r="C199" s="4"/>
      <c r="D199" s="4"/>
      <c r="E199" s="4"/>
      <c r="F199" s="4"/>
      <c r="G199" s="258" t="s">
        <v>556</v>
      </c>
      <c r="H199" s="258" t="s">
        <v>332</v>
      </c>
      <c r="I199" s="274" t="s">
        <v>871</v>
      </c>
      <c r="J199" s="257"/>
      <c r="K199" s="4"/>
    </row>
    <row r="200" spans="1:11" ht="12.75">
      <c r="A200" s="4"/>
      <c r="B200" s="4"/>
      <c r="C200" s="4"/>
      <c r="D200" s="4"/>
      <c r="E200" s="4"/>
      <c r="F200" s="4"/>
      <c r="G200" s="258" t="s">
        <v>213</v>
      </c>
      <c r="H200" s="258" t="s">
        <v>343</v>
      </c>
      <c r="I200" s="274" t="s">
        <v>872</v>
      </c>
      <c r="J200" s="257"/>
      <c r="K200" s="4"/>
    </row>
    <row r="201" spans="1:11" ht="12.75">
      <c r="A201" s="4"/>
      <c r="B201" s="4"/>
      <c r="C201" s="4"/>
      <c r="D201" s="4"/>
      <c r="E201" s="4"/>
      <c r="F201" s="4"/>
      <c r="G201" s="258" t="s">
        <v>395</v>
      </c>
      <c r="H201" s="258" t="s">
        <v>339</v>
      </c>
      <c r="I201" s="274" t="s">
        <v>873</v>
      </c>
      <c r="J201" s="257"/>
      <c r="K201" s="4"/>
    </row>
    <row r="202" spans="1:11" ht="12.75">
      <c r="A202" s="4"/>
      <c r="B202" s="4"/>
      <c r="C202" s="4"/>
      <c r="D202" s="4"/>
      <c r="E202" s="4"/>
      <c r="F202" s="4"/>
      <c r="G202" s="258" t="s">
        <v>214</v>
      </c>
      <c r="H202" s="258" t="s">
        <v>548</v>
      </c>
      <c r="I202" s="274" t="s">
        <v>874</v>
      </c>
      <c r="J202" s="257"/>
      <c r="K202" s="4"/>
    </row>
    <row r="203" spans="1:11" ht="12.75">
      <c r="A203" s="4"/>
      <c r="B203" s="4"/>
      <c r="C203" s="4"/>
      <c r="D203" s="4"/>
      <c r="E203" s="4"/>
      <c r="F203" s="4"/>
      <c r="G203" s="258" t="s">
        <v>622</v>
      </c>
      <c r="H203" s="258" t="s">
        <v>332</v>
      </c>
      <c r="I203" s="274" t="s">
        <v>875</v>
      </c>
      <c r="J203" s="257"/>
      <c r="K203" s="4"/>
    </row>
    <row r="204" spans="1:11" ht="12.75">
      <c r="A204" s="4"/>
      <c r="B204" s="4"/>
      <c r="C204" s="4"/>
      <c r="D204" s="4"/>
      <c r="E204" s="4"/>
      <c r="F204" s="4"/>
      <c r="G204" s="258" t="s">
        <v>1410</v>
      </c>
      <c r="H204" s="258" t="s">
        <v>376</v>
      </c>
      <c r="I204" s="274" t="s">
        <v>1411</v>
      </c>
      <c r="J204" s="257"/>
      <c r="K204" s="4"/>
    </row>
    <row r="205" spans="1:11" ht="12.75">
      <c r="A205" s="4"/>
      <c r="B205" s="4"/>
      <c r="C205" s="4"/>
      <c r="D205" s="4"/>
      <c r="E205" s="4"/>
      <c r="F205" s="4"/>
      <c r="G205" s="258" t="s">
        <v>1412</v>
      </c>
      <c r="H205" s="258" t="s">
        <v>339</v>
      </c>
      <c r="I205" s="274" t="s">
        <v>1413</v>
      </c>
      <c r="J205" s="257"/>
      <c r="K205" s="4"/>
    </row>
    <row r="206" spans="1:11" ht="12.75">
      <c r="A206" s="4"/>
      <c r="B206" s="4"/>
      <c r="C206" s="4"/>
      <c r="D206" s="4"/>
      <c r="E206" s="4"/>
      <c r="F206" s="4"/>
      <c r="G206" s="258" t="s">
        <v>396</v>
      </c>
      <c r="H206" s="258" t="s">
        <v>367</v>
      </c>
      <c r="I206" s="274" t="s">
        <v>876</v>
      </c>
      <c r="J206" s="257"/>
      <c r="K206" s="4"/>
    </row>
    <row r="207" spans="1:11" ht="12.75">
      <c r="A207" s="4"/>
      <c r="B207" s="4"/>
      <c r="C207" s="4"/>
      <c r="D207" s="4"/>
      <c r="E207" s="4"/>
      <c r="F207" s="4"/>
      <c r="G207" s="258" t="s">
        <v>1340</v>
      </c>
      <c r="H207" s="258" t="s">
        <v>329</v>
      </c>
      <c r="I207" s="274" t="s">
        <v>1341</v>
      </c>
      <c r="J207" s="257"/>
      <c r="K207" s="4"/>
    </row>
    <row r="208" spans="1:11" ht="12.75">
      <c r="A208" s="4"/>
      <c r="B208" s="4"/>
      <c r="C208" s="4"/>
      <c r="D208" s="4"/>
      <c r="E208" s="4"/>
      <c r="F208" s="4"/>
      <c r="G208" s="258" t="s">
        <v>397</v>
      </c>
      <c r="H208" s="258" t="s">
        <v>339</v>
      </c>
      <c r="I208" s="274" t="s">
        <v>877</v>
      </c>
      <c r="J208" s="257"/>
      <c r="K208" s="4"/>
    </row>
    <row r="209" spans="1:11" ht="12.75">
      <c r="A209" s="4"/>
      <c r="B209" s="4"/>
      <c r="C209" s="4"/>
      <c r="D209" s="4"/>
      <c r="E209" s="4"/>
      <c r="F209" s="4"/>
      <c r="G209" s="258" t="s">
        <v>215</v>
      </c>
      <c r="H209" s="258" t="s">
        <v>352</v>
      </c>
      <c r="I209" s="274" t="s">
        <v>878</v>
      </c>
      <c r="J209" s="257"/>
      <c r="K209" s="4"/>
    </row>
    <row r="210" spans="1:11" ht="12.75">
      <c r="A210" s="4"/>
      <c r="B210" s="4"/>
      <c r="C210" s="4"/>
      <c r="D210" s="4"/>
      <c r="E210" s="4"/>
      <c r="F210" s="4"/>
      <c r="G210" s="258" t="s">
        <v>398</v>
      </c>
      <c r="H210" s="258" t="s">
        <v>343</v>
      </c>
      <c r="I210" s="274" t="s">
        <v>879</v>
      </c>
      <c r="J210" s="257"/>
      <c r="K210" s="4"/>
    </row>
    <row r="211" spans="1:11" ht="12.75">
      <c r="A211" s="4"/>
      <c r="B211" s="4"/>
      <c r="C211" s="4"/>
      <c r="D211" s="4"/>
      <c r="E211" s="4"/>
      <c r="F211" s="4"/>
      <c r="G211" s="258" t="s">
        <v>399</v>
      </c>
      <c r="H211" s="258" t="s">
        <v>352</v>
      </c>
      <c r="I211" s="274" t="s">
        <v>880</v>
      </c>
      <c r="J211" s="257"/>
      <c r="K211" s="4"/>
    </row>
    <row r="212" spans="1:11" ht="12.75">
      <c r="A212" s="4"/>
      <c r="B212" s="4"/>
      <c r="C212" s="4"/>
      <c r="D212" s="4"/>
      <c r="E212" s="4"/>
      <c r="F212" s="4"/>
      <c r="G212" s="258" t="s">
        <v>216</v>
      </c>
      <c r="H212" s="258" t="s">
        <v>400</v>
      </c>
      <c r="I212" s="274" t="s">
        <v>881</v>
      </c>
      <c r="J212" s="257"/>
      <c r="K212" s="4"/>
    </row>
    <row r="213" spans="1:11" ht="12.75">
      <c r="A213" s="4"/>
      <c r="B213" s="4"/>
      <c r="C213" s="4"/>
      <c r="D213" s="4"/>
      <c r="E213" s="4"/>
      <c r="F213" s="4"/>
      <c r="G213" s="258" t="s">
        <v>401</v>
      </c>
      <c r="H213" s="258" t="s">
        <v>331</v>
      </c>
      <c r="I213" s="274" t="s">
        <v>882</v>
      </c>
      <c r="J213" s="257"/>
      <c r="K213" s="4"/>
    </row>
    <row r="214" spans="1:11" ht="12.75">
      <c r="A214" s="4"/>
      <c r="B214" s="4"/>
      <c r="C214" s="4"/>
      <c r="D214" s="4"/>
      <c r="E214" s="4"/>
      <c r="F214" s="4"/>
      <c r="G214" s="258" t="s">
        <v>402</v>
      </c>
      <c r="H214" s="258" t="s">
        <v>330</v>
      </c>
      <c r="I214" s="274" t="s">
        <v>883</v>
      </c>
      <c r="J214" s="257"/>
      <c r="K214" s="4"/>
    </row>
    <row r="215" spans="1:11" ht="12.75">
      <c r="A215" s="4"/>
      <c r="B215" s="4"/>
      <c r="C215" s="4"/>
      <c r="D215" s="4"/>
      <c r="E215" s="4"/>
      <c r="F215" s="4"/>
      <c r="G215" s="258" t="s">
        <v>884</v>
      </c>
      <c r="H215" s="258" t="s">
        <v>340</v>
      </c>
      <c r="I215" s="274" t="s">
        <v>885</v>
      </c>
      <c r="J215" s="257"/>
      <c r="K215" s="4"/>
    </row>
    <row r="216" spans="1:11" ht="12.75">
      <c r="A216" s="4"/>
      <c r="B216" s="4"/>
      <c r="C216" s="4"/>
      <c r="D216" s="4"/>
      <c r="E216" s="4"/>
      <c r="F216" s="4"/>
      <c r="G216" s="258" t="s">
        <v>886</v>
      </c>
      <c r="H216" s="258" t="s">
        <v>327</v>
      </c>
      <c r="I216" s="274" t="s">
        <v>887</v>
      </c>
      <c r="J216" s="257"/>
      <c r="K216" s="4"/>
    </row>
    <row r="217" spans="1:11" ht="12.75">
      <c r="A217" s="4"/>
      <c r="B217" s="4"/>
      <c r="C217" s="4"/>
      <c r="D217" s="4"/>
      <c r="E217" s="4"/>
      <c r="F217" s="4"/>
      <c r="G217" s="258" t="s">
        <v>403</v>
      </c>
      <c r="H217" s="258" t="s">
        <v>354</v>
      </c>
      <c r="I217" s="274" t="s">
        <v>888</v>
      </c>
      <c r="J217" s="257"/>
      <c r="K217" s="4"/>
    </row>
    <row r="218" spans="1:11" ht="12.75">
      <c r="A218" s="4"/>
      <c r="B218" s="4"/>
      <c r="C218" s="4"/>
      <c r="D218" s="4"/>
      <c r="E218" s="4"/>
      <c r="F218" s="4"/>
      <c r="G218" s="258" t="s">
        <v>217</v>
      </c>
      <c r="H218" s="258" t="s">
        <v>347</v>
      </c>
      <c r="I218" s="274" t="s">
        <v>889</v>
      </c>
      <c r="J218" s="257"/>
      <c r="K218" s="4"/>
    </row>
    <row r="219" spans="1:11" ht="12.75">
      <c r="A219" s="4"/>
      <c r="B219" s="4"/>
      <c r="C219" s="4"/>
      <c r="D219" s="4"/>
      <c r="E219" s="4"/>
      <c r="F219" s="4"/>
      <c r="G219" s="258" t="s">
        <v>1414</v>
      </c>
      <c r="H219" s="258" t="s">
        <v>349</v>
      </c>
      <c r="I219" s="274" t="s">
        <v>1415</v>
      </c>
      <c r="J219" s="257"/>
      <c r="K219" s="4"/>
    </row>
    <row r="220" spans="1:11" ht="12.75">
      <c r="A220" s="4"/>
      <c r="B220" s="4"/>
      <c r="C220" s="4"/>
      <c r="D220" s="4"/>
      <c r="E220" s="4"/>
      <c r="F220" s="4"/>
      <c r="G220" s="258" t="s">
        <v>890</v>
      </c>
      <c r="H220" s="258" t="s">
        <v>376</v>
      </c>
      <c r="I220" s="274" t="s">
        <v>891</v>
      </c>
      <c r="J220" s="257"/>
      <c r="K220" s="4"/>
    </row>
    <row r="221" spans="1:11" ht="12.75">
      <c r="A221" s="4"/>
      <c r="B221" s="4"/>
      <c r="C221" s="4"/>
      <c r="D221" s="4"/>
      <c r="E221" s="4"/>
      <c r="F221" s="4"/>
      <c r="G221" s="258" t="s">
        <v>218</v>
      </c>
      <c r="H221" s="258" t="s">
        <v>339</v>
      </c>
      <c r="I221" s="274" t="s">
        <v>892</v>
      </c>
      <c r="J221" s="257"/>
      <c r="K221" s="4"/>
    </row>
    <row r="222" spans="1:11" ht="12.75">
      <c r="A222" s="4"/>
      <c r="B222" s="4"/>
      <c r="C222" s="4"/>
      <c r="D222" s="4"/>
      <c r="E222" s="4"/>
      <c r="F222" s="4"/>
      <c r="G222" s="258" t="s">
        <v>219</v>
      </c>
      <c r="H222" s="258" t="s">
        <v>327</v>
      </c>
      <c r="I222" s="274" t="s">
        <v>893</v>
      </c>
      <c r="J222" s="257"/>
      <c r="K222" s="4"/>
    </row>
    <row r="223" spans="1:11" ht="12.75">
      <c r="A223" s="4"/>
      <c r="B223" s="4"/>
      <c r="C223" s="4"/>
      <c r="D223" s="4"/>
      <c r="E223" s="4"/>
      <c r="F223" s="4"/>
      <c r="G223" s="258" t="s">
        <v>894</v>
      </c>
      <c r="H223" s="258" t="s">
        <v>368</v>
      </c>
      <c r="I223" s="274" t="s">
        <v>895</v>
      </c>
      <c r="J223" s="257"/>
      <c r="K223" s="4"/>
    </row>
    <row r="224" spans="1:11" ht="12.75">
      <c r="A224" s="4"/>
      <c r="B224" s="4"/>
      <c r="C224" s="4"/>
      <c r="D224" s="4"/>
      <c r="E224" s="4"/>
      <c r="F224" s="4"/>
      <c r="G224" s="258" t="s">
        <v>896</v>
      </c>
      <c r="H224" s="258" t="s">
        <v>330</v>
      </c>
      <c r="I224" s="274" t="s">
        <v>897</v>
      </c>
      <c r="J224" s="257"/>
      <c r="K224" s="4"/>
    </row>
    <row r="225" spans="1:11" ht="12.75">
      <c r="A225" s="4"/>
      <c r="B225" s="4"/>
      <c r="C225" s="4"/>
      <c r="D225" s="4"/>
      <c r="E225" s="4"/>
      <c r="F225" s="4"/>
      <c r="G225" s="258" t="s">
        <v>1416</v>
      </c>
      <c r="H225" s="258" t="s">
        <v>340</v>
      </c>
      <c r="I225" s="274" t="s">
        <v>1417</v>
      </c>
      <c r="J225" s="257"/>
      <c r="K225" s="4"/>
    </row>
    <row r="226" spans="1:11" ht="12.75">
      <c r="A226" s="4"/>
      <c r="B226" s="4"/>
      <c r="C226" s="4"/>
      <c r="D226" s="4"/>
      <c r="E226" s="4"/>
      <c r="F226" s="4"/>
      <c r="G226" s="258" t="s">
        <v>898</v>
      </c>
      <c r="H226" s="258" t="s">
        <v>334</v>
      </c>
      <c r="I226" s="274" t="s">
        <v>899</v>
      </c>
      <c r="J226" s="257"/>
      <c r="K226" s="4"/>
    </row>
    <row r="227" spans="1:11" ht="12.75">
      <c r="A227" s="4"/>
      <c r="B227" s="4"/>
      <c r="C227" s="4"/>
      <c r="D227" s="4"/>
      <c r="E227" s="4"/>
      <c r="F227" s="4"/>
      <c r="G227" s="258" t="s">
        <v>900</v>
      </c>
      <c r="H227" s="258" t="s">
        <v>349</v>
      </c>
      <c r="I227" s="274" t="s">
        <v>901</v>
      </c>
      <c r="J227" s="257"/>
      <c r="K227" s="4"/>
    </row>
    <row r="228" spans="1:11" ht="12.75">
      <c r="A228" s="4"/>
      <c r="B228" s="4"/>
      <c r="C228" s="4"/>
      <c r="D228" s="4"/>
      <c r="E228" s="4"/>
      <c r="F228" s="4"/>
      <c r="G228" s="258" t="s">
        <v>902</v>
      </c>
      <c r="H228" s="258" t="s">
        <v>349</v>
      </c>
      <c r="I228" s="274" t="s">
        <v>1418</v>
      </c>
      <c r="J228" s="257"/>
      <c r="K228" s="4"/>
    </row>
    <row r="229" spans="1:11" ht="12.75">
      <c r="A229" s="4"/>
      <c r="B229" s="4"/>
      <c r="C229" s="4"/>
      <c r="D229" s="4"/>
      <c r="E229" s="4"/>
      <c r="F229" s="4"/>
      <c r="G229" s="258" t="s">
        <v>902</v>
      </c>
      <c r="H229" s="258" t="s">
        <v>349</v>
      </c>
      <c r="I229" s="274" t="s">
        <v>903</v>
      </c>
      <c r="J229" s="257"/>
      <c r="K229" s="4"/>
    </row>
    <row r="230" spans="1:11" ht="12.75">
      <c r="A230" s="4"/>
      <c r="B230" s="4"/>
      <c r="C230" s="4"/>
      <c r="D230" s="4"/>
      <c r="E230" s="4"/>
      <c r="F230" s="4"/>
      <c r="G230" s="258" t="s">
        <v>220</v>
      </c>
      <c r="H230" s="258" t="s">
        <v>329</v>
      </c>
      <c r="I230" s="274" t="s">
        <v>904</v>
      </c>
      <c r="J230" s="257"/>
      <c r="K230" s="4"/>
    </row>
    <row r="231" spans="1:11" ht="12.75">
      <c r="A231" s="4"/>
      <c r="B231" s="4"/>
      <c r="C231" s="4"/>
      <c r="D231" s="4"/>
      <c r="E231" s="4"/>
      <c r="F231" s="4"/>
      <c r="G231" s="258" t="s">
        <v>623</v>
      </c>
      <c r="H231" s="258" t="s">
        <v>354</v>
      </c>
      <c r="I231" s="274" t="s">
        <v>905</v>
      </c>
      <c r="J231" s="257"/>
      <c r="K231" s="4"/>
    </row>
    <row r="232" spans="1:11" ht="12.75">
      <c r="A232" s="4"/>
      <c r="B232" s="4"/>
      <c r="C232" s="4"/>
      <c r="D232" s="4"/>
      <c r="E232" s="4"/>
      <c r="F232" s="4"/>
      <c r="G232" s="258" t="s">
        <v>906</v>
      </c>
      <c r="H232" s="258" t="s">
        <v>332</v>
      </c>
      <c r="I232" s="274" t="s">
        <v>907</v>
      </c>
      <c r="J232" s="257"/>
      <c r="K232" s="4"/>
    </row>
    <row r="233" spans="1:11" ht="12.75">
      <c r="A233" s="4"/>
      <c r="B233" s="4"/>
      <c r="C233" s="4"/>
      <c r="D233" s="4"/>
      <c r="E233" s="4"/>
      <c r="F233" s="4"/>
      <c r="G233" s="258" t="s">
        <v>404</v>
      </c>
      <c r="H233" s="258" t="s">
        <v>334</v>
      </c>
      <c r="I233" s="274" t="s">
        <v>908</v>
      </c>
      <c r="J233" s="257"/>
      <c r="K233" s="4"/>
    </row>
    <row r="234" spans="1:11" ht="12.75">
      <c r="A234" s="4"/>
      <c r="B234" s="4"/>
      <c r="C234" s="4"/>
      <c r="D234" s="4"/>
      <c r="E234" s="4"/>
      <c r="F234" s="4"/>
      <c r="G234" s="258" t="s">
        <v>221</v>
      </c>
      <c r="H234" s="258" t="s">
        <v>340</v>
      </c>
      <c r="I234" s="274" t="s">
        <v>909</v>
      </c>
      <c r="J234" s="257"/>
      <c r="K234" s="4"/>
    </row>
    <row r="235" spans="1:11" ht="12.75">
      <c r="A235" s="4"/>
      <c r="B235" s="4"/>
      <c r="C235" s="4"/>
      <c r="D235" s="4"/>
      <c r="E235" s="4"/>
      <c r="F235" s="4"/>
      <c r="G235" s="258" t="s">
        <v>624</v>
      </c>
      <c r="H235" s="258" t="s">
        <v>330</v>
      </c>
      <c r="I235" s="274" t="s">
        <v>910</v>
      </c>
      <c r="J235" s="257"/>
      <c r="K235" s="4"/>
    </row>
    <row r="236" spans="1:11" ht="12.75">
      <c r="A236" s="4"/>
      <c r="B236" s="4"/>
      <c r="C236" s="4"/>
      <c r="D236" s="4"/>
      <c r="E236" s="4"/>
      <c r="F236" s="4"/>
      <c r="G236" s="258" t="s">
        <v>222</v>
      </c>
      <c r="H236" s="258" t="s">
        <v>354</v>
      </c>
      <c r="I236" s="274" t="s">
        <v>911</v>
      </c>
      <c r="J236" s="257"/>
      <c r="K236" s="4"/>
    </row>
    <row r="237" spans="1:11" ht="12.75">
      <c r="A237" s="4"/>
      <c r="B237" s="4"/>
      <c r="C237" s="4"/>
      <c r="D237" s="4"/>
      <c r="E237" s="4"/>
      <c r="F237" s="4"/>
      <c r="G237" s="258" t="s">
        <v>223</v>
      </c>
      <c r="H237" s="258" t="s">
        <v>354</v>
      </c>
      <c r="I237" s="274" t="s">
        <v>912</v>
      </c>
      <c r="J237" s="257"/>
      <c r="K237" s="4"/>
    </row>
    <row r="238" spans="1:11" ht="12.75">
      <c r="A238" s="4"/>
      <c r="B238" s="4"/>
      <c r="C238" s="4"/>
      <c r="D238" s="4"/>
      <c r="E238" s="4"/>
      <c r="F238" s="4"/>
      <c r="G238" s="258" t="s">
        <v>1419</v>
      </c>
      <c r="H238" s="258" t="s">
        <v>339</v>
      </c>
      <c r="I238" s="274" t="s">
        <v>1420</v>
      </c>
      <c r="J238" s="257"/>
      <c r="K238" s="4"/>
    </row>
    <row r="239" spans="1:11" ht="12.75">
      <c r="A239" s="4"/>
      <c r="B239" s="4"/>
      <c r="C239" s="4"/>
      <c r="D239" s="4"/>
      <c r="E239" s="4"/>
      <c r="F239" s="4"/>
      <c r="G239" s="258" t="s">
        <v>405</v>
      </c>
      <c r="H239" s="258" t="s">
        <v>337</v>
      </c>
      <c r="I239" s="274" t="s">
        <v>913</v>
      </c>
      <c r="J239" s="257"/>
      <c r="K239" s="4"/>
    </row>
    <row r="240" spans="1:11" ht="12.75">
      <c r="A240" s="4"/>
      <c r="B240" s="4"/>
      <c r="C240" s="4"/>
      <c r="D240" s="4"/>
      <c r="E240" s="4"/>
      <c r="F240" s="4"/>
      <c r="G240" s="258" t="s">
        <v>1421</v>
      </c>
      <c r="H240" s="258" t="s">
        <v>343</v>
      </c>
      <c r="I240" s="274" t="s">
        <v>1422</v>
      </c>
      <c r="J240" s="257"/>
      <c r="K240" s="4"/>
    </row>
    <row r="241" spans="1:11" ht="12.75">
      <c r="A241" s="4"/>
      <c r="B241" s="4"/>
      <c r="C241" s="4"/>
      <c r="D241" s="4"/>
      <c r="E241" s="4"/>
      <c r="F241" s="4"/>
      <c r="G241" s="258" t="s">
        <v>914</v>
      </c>
      <c r="H241" s="258" t="s">
        <v>352</v>
      </c>
      <c r="I241" s="274" t="s">
        <v>915</v>
      </c>
      <c r="J241" s="257"/>
      <c r="K241" s="4"/>
    </row>
    <row r="242" spans="1:11" ht="12.75">
      <c r="A242" s="4"/>
      <c r="B242" s="4"/>
      <c r="C242" s="4"/>
      <c r="D242" s="4"/>
      <c r="E242" s="4"/>
      <c r="F242" s="4"/>
      <c r="G242" s="258" t="s">
        <v>406</v>
      </c>
      <c r="H242" s="258" t="s">
        <v>349</v>
      </c>
      <c r="I242" s="274" t="s">
        <v>916</v>
      </c>
      <c r="J242" s="257"/>
      <c r="K242" s="4"/>
    </row>
    <row r="243" spans="1:11" ht="12.75">
      <c r="A243" s="4"/>
      <c r="B243" s="4"/>
      <c r="C243" s="4"/>
      <c r="D243" s="4"/>
      <c r="E243" s="4"/>
      <c r="F243" s="4"/>
      <c r="G243" s="258" t="s">
        <v>224</v>
      </c>
      <c r="H243" s="258" t="s">
        <v>347</v>
      </c>
      <c r="I243" s="274" t="s">
        <v>917</v>
      </c>
      <c r="J243" s="257"/>
      <c r="K243" s="4"/>
    </row>
    <row r="244" spans="1:11" ht="12.75">
      <c r="A244" s="4"/>
      <c r="B244" s="4"/>
      <c r="C244" s="4"/>
      <c r="D244" s="4"/>
      <c r="E244" s="4"/>
      <c r="F244" s="4"/>
      <c r="G244" s="258" t="s">
        <v>407</v>
      </c>
      <c r="H244" s="258" t="s">
        <v>341</v>
      </c>
      <c r="I244" s="274" t="s">
        <v>918</v>
      </c>
      <c r="J244" s="257"/>
      <c r="K244" s="4"/>
    </row>
    <row r="245" spans="1:11" ht="12.75">
      <c r="A245" s="4"/>
      <c r="B245" s="4"/>
      <c r="C245" s="4"/>
      <c r="D245" s="4"/>
      <c r="E245" s="4"/>
      <c r="F245" s="4"/>
      <c r="G245" s="258" t="s">
        <v>225</v>
      </c>
      <c r="H245" s="258" t="s">
        <v>330</v>
      </c>
      <c r="I245" s="274" t="s">
        <v>919</v>
      </c>
      <c r="J245" s="257"/>
      <c r="K245" s="4"/>
    </row>
    <row r="246" spans="1:11" ht="12.75">
      <c r="A246" s="4"/>
      <c r="B246" s="4"/>
      <c r="C246" s="4"/>
      <c r="D246" s="4"/>
      <c r="E246" s="4"/>
      <c r="F246" s="4"/>
      <c r="G246" s="258" t="s">
        <v>408</v>
      </c>
      <c r="H246" s="258" t="s">
        <v>343</v>
      </c>
      <c r="I246" s="274" t="s">
        <v>920</v>
      </c>
      <c r="J246" s="257"/>
      <c r="K246" s="4"/>
    </row>
    <row r="247" spans="1:11" ht="12.75">
      <c r="A247" s="4"/>
      <c r="B247" s="4"/>
      <c r="C247" s="4"/>
      <c r="D247" s="4"/>
      <c r="E247" s="4"/>
      <c r="F247" s="4"/>
      <c r="G247" s="258" t="s">
        <v>921</v>
      </c>
      <c r="H247" s="258" t="s">
        <v>332</v>
      </c>
      <c r="I247" s="274" t="s">
        <v>922</v>
      </c>
      <c r="J247" s="257"/>
      <c r="K247" s="4"/>
    </row>
    <row r="248" spans="1:11" ht="12.75">
      <c r="A248" s="4"/>
      <c r="B248" s="4"/>
      <c r="C248" s="4"/>
      <c r="D248" s="4"/>
      <c r="E248" s="4"/>
      <c r="F248" s="4"/>
      <c r="G248" s="258" t="s">
        <v>923</v>
      </c>
      <c r="H248" s="258" t="s">
        <v>332</v>
      </c>
      <c r="I248" s="274" t="s">
        <v>924</v>
      </c>
      <c r="J248" s="257"/>
      <c r="K248" s="4"/>
    </row>
    <row r="249" spans="1:11" ht="12.75">
      <c r="A249" s="4"/>
      <c r="B249" s="4"/>
      <c r="C249" s="4"/>
      <c r="D249" s="4"/>
      <c r="E249" s="4"/>
      <c r="F249" s="4"/>
      <c r="G249" s="258" t="s">
        <v>557</v>
      </c>
      <c r="H249" s="258" t="s">
        <v>332</v>
      </c>
      <c r="I249" s="274" t="s">
        <v>925</v>
      </c>
      <c r="J249" s="257"/>
      <c r="K249" s="4"/>
    </row>
    <row r="250" spans="1:11" ht="12.75">
      <c r="A250" s="4"/>
      <c r="B250" s="4"/>
      <c r="C250" s="4"/>
      <c r="D250" s="4"/>
      <c r="E250" s="4"/>
      <c r="F250" s="4"/>
      <c r="G250" s="258" t="s">
        <v>625</v>
      </c>
      <c r="H250" s="258" t="s">
        <v>354</v>
      </c>
      <c r="I250" s="274" t="s">
        <v>926</v>
      </c>
      <c r="J250" s="257"/>
      <c r="K250" s="4"/>
    </row>
    <row r="251" spans="1:11" ht="12.75">
      <c r="A251" s="4"/>
      <c r="B251" s="4"/>
      <c r="C251" s="4"/>
      <c r="D251" s="4"/>
      <c r="E251" s="4"/>
      <c r="F251" s="4"/>
      <c r="G251" s="258" t="s">
        <v>409</v>
      </c>
      <c r="H251" s="258" t="s">
        <v>329</v>
      </c>
      <c r="I251" s="274" t="s">
        <v>927</v>
      </c>
      <c r="J251" s="257"/>
      <c r="K251" s="4"/>
    </row>
    <row r="252" spans="1:11" ht="12.75">
      <c r="A252" s="4"/>
      <c r="B252" s="4"/>
      <c r="C252" s="4"/>
      <c r="D252" s="4"/>
      <c r="E252" s="4"/>
      <c r="F252" s="4"/>
      <c r="G252" s="258" t="s">
        <v>226</v>
      </c>
      <c r="H252" s="258" t="s">
        <v>339</v>
      </c>
      <c r="I252" s="274" t="s">
        <v>928</v>
      </c>
      <c r="J252" s="257"/>
      <c r="K252" s="4"/>
    </row>
    <row r="253" spans="1:11" ht="12.75">
      <c r="A253" s="4"/>
      <c r="B253" s="4"/>
      <c r="C253" s="4"/>
      <c r="D253" s="4"/>
      <c r="E253" s="4"/>
      <c r="F253" s="4"/>
      <c r="G253" s="258" t="s">
        <v>227</v>
      </c>
      <c r="H253" s="258" t="s">
        <v>339</v>
      </c>
      <c r="I253" s="274" t="s">
        <v>929</v>
      </c>
      <c r="J253" s="257"/>
      <c r="K253" s="4"/>
    </row>
    <row r="254" spans="1:11" ht="12.75">
      <c r="A254" s="4"/>
      <c r="B254" s="4"/>
      <c r="C254" s="4"/>
      <c r="D254" s="4"/>
      <c r="E254" s="4"/>
      <c r="F254" s="4"/>
      <c r="G254" s="258" t="s">
        <v>410</v>
      </c>
      <c r="H254" s="258" t="s">
        <v>327</v>
      </c>
      <c r="I254" s="274" t="s">
        <v>930</v>
      </c>
      <c r="J254" s="257"/>
      <c r="K254" s="4"/>
    </row>
    <row r="255" spans="1:11" ht="12.75">
      <c r="A255" s="4"/>
      <c r="B255" s="4"/>
      <c r="C255" s="4"/>
      <c r="D255" s="4"/>
      <c r="E255" s="4"/>
      <c r="F255" s="4"/>
      <c r="G255" s="258" t="s">
        <v>626</v>
      </c>
      <c r="H255" s="258" t="s">
        <v>376</v>
      </c>
      <c r="I255" s="274" t="s">
        <v>931</v>
      </c>
      <c r="J255" s="257"/>
      <c r="K255" s="4"/>
    </row>
    <row r="256" spans="1:11" ht="12.75">
      <c r="A256" s="4"/>
      <c r="B256" s="4"/>
      <c r="C256" s="4"/>
      <c r="D256" s="4"/>
      <c r="E256" s="4"/>
      <c r="F256" s="4"/>
      <c r="G256" s="258" t="s">
        <v>228</v>
      </c>
      <c r="H256" s="258" t="s">
        <v>341</v>
      </c>
      <c r="I256" s="274" t="s">
        <v>932</v>
      </c>
      <c r="J256" s="257"/>
      <c r="K256" s="4"/>
    </row>
    <row r="257" spans="1:11" ht="12.75">
      <c r="A257" s="4"/>
      <c r="B257" s="4"/>
      <c r="C257" s="4"/>
      <c r="D257" s="4"/>
      <c r="E257" s="4"/>
      <c r="F257" s="4"/>
      <c r="G257" s="258" t="s">
        <v>558</v>
      </c>
      <c r="H257" s="258" t="s">
        <v>352</v>
      </c>
      <c r="I257" s="274" t="s">
        <v>933</v>
      </c>
      <c r="J257" s="257"/>
      <c r="K257" s="4"/>
    </row>
    <row r="258" spans="1:11" ht="12.75">
      <c r="A258" s="4"/>
      <c r="B258" s="4"/>
      <c r="C258" s="4"/>
      <c r="D258" s="4"/>
      <c r="E258" s="4"/>
      <c r="F258" s="4"/>
      <c r="G258" s="258" t="s">
        <v>411</v>
      </c>
      <c r="H258" s="258" t="s">
        <v>340</v>
      </c>
      <c r="I258" s="274" t="s">
        <v>934</v>
      </c>
      <c r="J258" s="257"/>
      <c r="K258" s="4"/>
    </row>
    <row r="259" spans="1:11" ht="12.75">
      <c r="A259" s="4"/>
      <c r="B259" s="4"/>
      <c r="C259" s="4"/>
      <c r="D259" s="4"/>
      <c r="E259" s="4"/>
      <c r="F259" s="4"/>
      <c r="G259" s="258" t="s">
        <v>935</v>
      </c>
      <c r="H259" s="258" t="s">
        <v>548</v>
      </c>
      <c r="I259" s="274" t="s">
        <v>936</v>
      </c>
      <c r="J259" s="257"/>
      <c r="K259" s="4"/>
    </row>
    <row r="260" spans="1:11" ht="12.75">
      <c r="A260" s="4"/>
      <c r="B260" s="4"/>
      <c r="C260" s="4"/>
      <c r="D260" s="4"/>
      <c r="E260" s="4"/>
      <c r="F260" s="4"/>
      <c r="G260" s="258" t="s">
        <v>412</v>
      </c>
      <c r="H260" s="258" t="s">
        <v>330</v>
      </c>
      <c r="I260" s="274" t="s">
        <v>937</v>
      </c>
      <c r="J260" s="257"/>
      <c r="K260" s="4"/>
    </row>
    <row r="261" spans="1:11" ht="12.75">
      <c r="A261" s="4"/>
      <c r="B261" s="4"/>
      <c r="C261" s="4"/>
      <c r="D261" s="4"/>
      <c r="E261" s="4"/>
      <c r="F261" s="4"/>
      <c r="G261" s="258" t="s">
        <v>229</v>
      </c>
      <c r="H261" s="258" t="s">
        <v>327</v>
      </c>
      <c r="I261" s="274" t="s">
        <v>938</v>
      </c>
      <c r="J261" s="257"/>
      <c r="K261" s="4"/>
    </row>
    <row r="262" spans="1:11" ht="12.75">
      <c r="A262" s="4"/>
      <c r="B262" s="4"/>
      <c r="C262" s="4"/>
      <c r="D262" s="4"/>
      <c r="E262" s="4"/>
      <c r="F262" s="4"/>
      <c r="G262" s="258" t="s">
        <v>1423</v>
      </c>
      <c r="H262" s="258" t="s">
        <v>548</v>
      </c>
      <c r="I262" s="274" t="s">
        <v>1424</v>
      </c>
      <c r="J262" s="257"/>
      <c r="K262" s="4"/>
    </row>
    <row r="263" spans="1:11" ht="12.75">
      <c r="A263" s="4"/>
      <c r="B263" s="4"/>
      <c r="C263" s="4"/>
      <c r="D263" s="4"/>
      <c r="E263" s="4"/>
      <c r="F263" s="4"/>
      <c r="G263" s="258" t="s">
        <v>413</v>
      </c>
      <c r="H263" s="258" t="s">
        <v>328</v>
      </c>
      <c r="I263" s="274" t="s">
        <v>939</v>
      </c>
      <c r="J263" s="257"/>
      <c r="K263" s="4"/>
    </row>
    <row r="264" spans="1:11" ht="12.75">
      <c r="A264" s="4"/>
      <c r="B264" s="4"/>
      <c r="C264" s="4"/>
      <c r="D264" s="4"/>
      <c r="E264" s="4"/>
      <c r="F264" s="4"/>
      <c r="G264" s="258" t="s">
        <v>940</v>
      </c>
      <c r="H264" s="258" t="s">
        <v>400</v>
      </c>
      <c r="I264" s="274" t="s">
        <v>941</v>
      </c>
      <c r="J264" s="257"/>
      <c r="K264" s="4"/>
    </row>
    <row r="265" spans="1:11" ht="12.75">
      <c r="A265" s="4"/>
      <c r="B265" s="4"/>
      <c r="C265" s="4"/>
      <c r="D265" s="4"/>
      <c r="E265" s="4"/>
      <c r="F265" s="4"/>
      <c r="G265" s="258" t="s">
        <v>230</v>
      </c>
      <c r="H265" s="258" t="s">
        <v>343</v>
      </c>
      <c r="I265" s="274" t="s">
        <v>942</v>
      </c>
      <c r="J265" s="257"/>
      <c r="K265" s="4"/>
    </row>
    <row r="266" spans="1:11" ht="12.75">
      <c r="A266" s="4"/>
      <c r="B266" s="4"/>
      <c r="C266" s="4"/>
      <c r="D266" s="4"/>
      <c r="E266" s="4"/>
      <c r="F266" s="4"/>
      <c r="G266" s="258" t="s">
        <v>627</v>
      </c>
      <c r="H266" s="258" t="s">
        <v>338</v>
      </c>
      <c r="I266" s="274" t="s">
        <v>943</v>
      </c>
      <c r="J266" s="257"/>
      <c r="K266" s="4"/>
    </row>
    <row r="267" spans="1:11" ht="12.75">
      <c r="A267" s="4"/>
      <c r="B267" s="4"/>
      <c r="C267" s="4"/>
      <c r="D267" s="4"/>
      <c r="E267" s="4"/>
      <c r="F267" s="4"/>
      <c r="G267" s="258" t="s">
        <v>231</v>
      </c>
      <c r="H267" s="258" t="s">
        <v>329</v>
      </c>
      <c r="I267" s="274" t="s">
        <v>944</v>
      </c>
      <c r="J267" s="257"/>
      <c r="K267" s="4"/>
    </row>
    <row r="268" spans="1:11" ht="12.75">
      <c r="A268" s="4"/>
      <c r="B268" s="4"/>
      <c r="C268" s="4"/>
      <c r="D268" s="4"/>
      <c r="E268" s="4"/>
      <c r="F268" s="4"/>
      <c r="G268" s="258" t="s">
        <v>945</v>
      </c>
      <c r="H268" s="258" t="s">
        <v>328</v>
      </c>
      <c r="I268" s="274" t="s">
        <v>946</v>
      </c>
      <c r="J268" s="257"/>
      <c r="K268" s="4"/>
    </row>
    <row r="269" spans="1:11" ht="12.75">
      <c r="A269" s="4"/>
      <c r="B269" s="4"/>
      <c r="C269" s="4"/>
      <c r="D269" s="4"/>
      <c r="E269" s="4"/>
      <c r="F269" s="4"/>
      <c r="G269" s="258" t="s">
        <v>1342</v>
      </c>
      <c r="H269" s="258" t="s">
        <v>340</v>
      </c>
      <c r="I269" s="274" t="s">
        <v>1343</v>
      </c>
      <c r="J269" s="257"/>
      <c r="K269" s="4"/>
    </row>
    <row r="270" spans="1:11" ht="12.75">
      <c r="A270" s="4"/>
      <c r="B270" s="4"/>
      <c r="C270" s="4"/>
      <c r="D270" s="4"/>
      <c r="E270" s="4"/>
      <c r="F270" s="4"/>
      <c r="G270" s="258" t="s">
        <v>1344</v>
      </c>
      <c r="H270" s="258" t="s">
        <v>347</v>
      </c>
      <c r="I270" s="274" t="s">
        <v>1345</v>
      </c>
      <c r="J270" s="257"/>
      <c r="K270" s="4"/>
    </row>
    <row r="271" spans="1:11" ht="12.75">
      <c r="A271" s="4"/>
      <c r="B271" s="4"/>
      <c r="C271" s="4"/>
      <c r="D271" s="4"/>
      <c r="E271" s="4"/>
      <c r="F271" s="4"/>
      <c r="G271" s="258" t="s">
        <v>232</v>
      </c>
      <c r="H271" s="258" t="s">
        <v>338</v>
      </c>
      <c r="I271" s="274" t="s">
        <v>947</v>
      </c>
      <c r="J271" s="257"/>
      <c r="K271" s="4"/>
    </row>
    <row r="272" spans="1:11" ht="12.75">
      <c r="A272" s="4"/>
      <c r="B272" s="4"/>
      <c r="C272" s="4"/>
      <c r="D272" s="4"/>
      <c r="E272" s="4"/>
      <c r="F272" s="4"/>
      <c r="G272" s="258" t="s">
        <v>233</v>
      </c>
      <c r="H272" s="258" t="s">
        <v>329</v>
      </c>
      <c r="I272" s="274" t="s">
        <v>948</v>
      </c>
      <c r="J272" s="257"/>
      <c r="K272" s="4"/>
    </row>
    <row r="273" spans="1:11" ht="12.75">
      <c r="A273" s="4"/>
      <c r="B273" s="4"/>
      <c r="C273" s="4"/>
      <c r="D273" s="4"/>
      <c r="E273" s="4"/>
      <c r="F273" s="4"/>
      <c r="G273" s="258" t="s">
        <v>414</v>
      </c>
      <c r="H273" s="258" t="s">
        <v>327</v>
      </c>
      <c r="I273" s="274" t="s">
        <v>949</v>
      </c>
      <c r="J273" s="257"/>
      <c r="K273" s="4"/>
    </row>
    <row r="274" spans="1:11" ht="12.75">
      <c r="A274" s="4"/>
      <c r="B274" s="4"/>
      <c r="C274" s="4"/>
      <c r="D274" s="4"/>
      <c r="E274" s="4"/>
      <c r="F274" s="4"/>
      <c r="G274" s="258" t="s">
        <v>234</v>
      </c>
      <c r="H274" s="258" t="s">
        <v>329</v>
      </c>
      <c r="I274" s="274" t="s">
        <v>950</v>
      </c>
      <c r="J274" s="257"/>
      <c r="K274" s="4"/>
    </row>
    <row r="275" spans="1:11" ht="12.75">
      <c r="A275" s="4"/>
      <c r="B275" s="4"/>
      <c r="C275" s="4"/>
      <c r="D275" s="4"/>
      <c r="E275" s="4"/>
      <c r="F275" s="4"/>
      <c r="G275" s="258" t="s">
        <v>415</v>
      </c>
      <c r="H275" s="258" t="s">
        <v>329</v>
      </c>
      <c r="I275" s="274" t="s">
        <v>951</v>
      </c>
      <c r="J275" s="257"/>
      <c r="K275" s="4"/>
    </row>
    <row r="276" spans="1:11" ht="12.75">
      <c r="A276" s="4"/>
      <c r="B276" s="4"/>
      <c r="C276" s="4"/>
      <c r="D276" s="4"/>
      <c r="E276" s="4"/>
      <c r="F276" s="4"/>
      <c r="G276" s="258" t="s">
        <v>416</v>
      </c>
      <c r="H276" s="258" t="s">
        <v>347</v>
      </c>
      <c r="I276" s="274" t="s">
        <v>952</v>
      </c>
      <c r="J276" s="257"/>
      <c r="K276" s="4"/>
    </row>
    <row r="277" spans="1:11" ht="12.75">
      <c r="A277" s="4"/>
      <c r="B277" s="4"/>
      <c r="C277" s="4"/>
      <c r="D277" s="4"/>
      <c r="E277" s="4"/>
      <c r="F277" s="4"/>
      <c r="G277" s="258" t="s">
        <v>417</v>
      </c>
      <c r="H277" s="258" t="s">
        <v>338</v>
      </c>
      <c r="I277" s="274" t="s">
        <v>953</v>
      </c>
      <c r="J277" s="257"/>
      <c r="K277" s="4"/>
    </row>
    <row r="278" spans="1:11" ht="12.75">
      <c r="A278" s="4"/>
      <c r="B278" s="4"/>
      <c r="C278" s="4"/>
      <c r="D278" s="4"/>
      <c r="E278" s="4"/>
      <c r="F278" s="4"/>
      <c r="G278" s="258" t="s">
        <v>235</v>
      </c>
      <c r="H278" s="258" t="s">
        <v>338</v>
      </c>
      <c r="I278" s="274" t="s">
        <v>954</v>
      </c>
      <c r="J278" s="257"/>
      <c r="K278" s="4"/>
    </row>
    <row r="279" spans="1:11" ht="12.75">
      <c r="A279" s="4"/>
      <c r="B279" s="4"/>
      <c r="C279" s="4"/>
      <c r="D279" s="4"/>
      <c r="E279" s="4"/>
      <c r="F279" s="4"/>
      <c r="G279" s="258" t="s">
        <v>1425</v>
      </c>
      <c r="H279" s="258" t="s">
        <v>329</v>
      </c>
      <c r="I279" s="274" t="s">
        <v>1426</v>
      </c>
      <c r="J279" s="257"/>
      <c r="K279" s="4"/>
    </row>
    <row r="280" spans="1:11" ht="12.75">
      <c r="A280" s="4"/>
      <c r="B280" s="4"/>
      <c r="C280" s="4"/>
      <c r="D280" s="4"/>
      <c r="E280" s="4"/>
      <c r="F280" s="4"/>
      <c r="G280" s="258" t="s">
        <v>955</v>
      </c>
      <c r="H280" s="258" t="s">
        <v>349</v>
      </c>
      <c r="I280" s="274" t="s">
        <v>956</v>
      </c>
      <c r="J280" s="257"/>
      <c r="K280" s="4"/>
    </row>
    <row r="281" spans="1:11" ht="12.75">
      <c r="A281" s="4"/>
      <c r="B281" s="4"/>
      <c r="C281" s="4"/>
      <c r="D281" s="4"/>
      <c r="E281" s="4"/>
      <c r="F281" s="4"/>
      <c r="G281" s="258" t="s">
        <v>957</v>
      </c>
      <c r="H281" s="258" t="s">
        <v>352</v>
      </c>
      <c r="I281" s="274" t="s">
        <v>958</v>
      </c>
      <c r="J281" s="257"/>
      <c r="K281" s="4"/>
    </row>
    <row r="282" spans="1:11" ht="12.75">
      <c r="A282" s="4"/>
      <c r="B282" s="4"/>
      <c r="C282" s="4"/>
      <c r="D282" s="4"/>
      <c r="E282" s="4"/>
      <c r="F282" s="4"/>
      <c r="G282" s="258" t="s">
        <v>1427</v>
      </c>
      <c r="H282" s="258" t="s">
        <v>352</v>
      </c>
      <c r="I282" s="274" t="s">
        <v>1428</v>
      </c>
      <c r="J282" s="257"/>
      <c r="K282" s="4"/>
    </row>
    <row r="283" spans="1:11" ht="12.75">
      <c r="A283" s="4"/>
      <c r="B283" s="4"/>
      <c r="C283" s="4"/>
      <c r="D283" s="4"/>
      <c r="E283" s="4"/>
      <c r="F283" s="4"/>
      <c r="G283" s="258" t="s">
        <v>418</v>
      </c>
      <c r="H283" s="258" t="s">
        <v>343</v>
      </c>
      <c r="I283" s="274" t="s">
        <v>959</v>
      </c>
      <c r="J283" s="257"/>
      <c r="K283" s="4"/>
    </row>
    <row r="284" spans="1:11" ht="12.75">
      <c r="A284" s="4"/>
      <c r="B284" s="4"/>
      <c r="C284" s="4"/>
      <c r="D284" s="4"/>
      <c r="E284" s="4"/>
      <c r="F284" s="4"/>
      <c r="G284" s="258" t="s">
        <v>236</v>
      </c>
      <c r="H284" s="258" t="s">
        <v>343</v>
      </c>
      <c r="I284" s="274" t="s">
        <v>960</v>
      </c>
      <c r="J284" s="257"/>
      <c r="K284" s="4"/>
    </row>
    <row r="285" spans="1:11" ht="12.75">
      <c r="A285" s="4"/>
      <c r="B285" s="4"/>
      <c r="C285" s="4"/>
      <c r="D285" s="4"/>
      <c r="E285" s="4"/>
      <c r="F285" s="4"/>
      <c r="G285" s="258" t="s">
        <v>419</v>
      </c>
      <c r="H285" s="258" t="s">
        <v>343</v>
      </c>
      <c r="I285" s="274" t="s">
        <v>961</v>
      </c>
      <c r="J285" s="257"/>
      <c r="K285" s="4"/>
    </row>
    <row r="286" spans="1:11" ht="12.75">
      <c r="A286" s="4"/>
      <c r="B286" s="4"/>
      <c r="C286" s="4"/>
      <c r="D286" s="4"/>
      <c r="E286" s="4"/>
      <c r="F286" s="4"/>
      <c r="G286" s="258" t="s">
        <v>559</v>
      </c>
      <c r="H286" s="258" t="s">
        <v>349</v>
      </c>
      <c r="I286" s="274" t="s">
        <v>962</v>
      </c>
      <c r="J286" s="257"/>
      <c r="K286" s="4"/>
    </row>
    <row r="287" spans="1:11" ht="12.75">
      <c r="A287" s="4"/>
      <c r="B287" s="4"/>
      <c r="C287" s="4"/>
      <c r="D287" s="4"/>
      <c r="E287" s="4"/>
      <c r="F287" s="4"/>
      <c r="G287" s="258" t="s">
        <v>237</v>
      </c>
      <c r="H287" s="258" t="s">
        <v>339</v>
      </c>
      <c r="I287" s="274" t="s">
        <v>963</v>
      </c>
      <c r="J287" s="257"/>
      <c r="K287" s="4"/>
    </row>
    <row r="288" spans="1:11" ht="12.75">
      <c r="A288" s="4"/>
      <c r="B288" s="4"/>
      <c r="C288" s="4"/>
      <c r="D288" s="4"/>
      <c r="E288" s="4"/>
      <c r="F288" s="4"/>
      <c r="G288" s="258" t="s">
        <v>964</v>
      </c>
      <c r="H288" s="258" t="s">
        <v>330</v>
      </c>
      <c r="I288" s="274" t="s">
        <v>965</v>
      </c>
      <c r="J288" s="257"/>
      <c r="K288" s="4"/>
    </row>
    <row r="289" spans="1:11" ht="12.75">
      <c r="A289" s="4"/>
      <c r="B289" s="4"/>
      <c r="C289" s="4"/>
      <c r="D289" s="4"/>
      <c r="E289" s="4"/>
      <c r="F289" s="4"/>
      <c r="G289" s="258" t="s">
        <v>966</v>
      </c>
      <c r="H289" s="258" t="s">
        <v>332</v>
      </c>
      <c r="I289" s="274" t="s">
        <v>967</v>
      </c>
      <c r="J289" s="257"/>
      <c r="K289" s="4"/>
    </row>
    <row r="290" spans="1:11" ht="12.75">
      <c r="A290" s="4"/>
      <c r="B290" s="4"/>
      <c r="C290" s="4"/>
      <c r="D290" s="4"/>
      <c r="E290" s="4"/>
      <c r="F290" s="4"/>
      <c r="G290" s="258" t="s">
        <v>238</v>
      </c>
      <c r="H290" s="258" t="s">
        <v>548</v>
      </c>
      <c r="I290" s="274" t="s">
        <v>968</v>
      </c>
      <c r="J290" s="257"/>
      <c r="K290" s="4"/>
    </row>
    <row r="291" spans="1:11" ht="12.75">
      <c r="A291" s="4"/>
      <c r="B291" s="4"/>
      <c r="C291" s="4"/>
      <c r="D291" s="4"/>
      <c r="E291" s="4"/>
      <c r="F291" s="4"/>
      <c r="G291" s="258" t="s">
        <v>969</v>
      </c>
      <c r="H291" s="258" t="s">
        <v>349</v>
      </c>
      <c r="I291" s="274" t="s">
        <v>970</v>
      </c>
      <c r="J291" s="257"/>
      <c r="K291" s="4"/>
    </row>
    <row r="292" spans="1:11" ht="12.75">
      <c r="A292" s="4"/>
      <c r="B292" s="4"/>
      <c r="C292" s="4"/>
      <c r="D292" s="4"/>
      <c r="E292" s="4"/>
      <c r="F292" s="4"/>
      <c r="G292" s="258" t="s">
        <v>560</v>
      </c>
      <c r="H292" s="258" t="s">
        <v>332</v>
      </c>
      <c r="I292" s="274" t="s">
        <v>971</v>
      </c>
      <c r="J292" s="257"/>
      <c r="K292" s="4"/>
    </row>
    <row r="293" spans="1:11" ht="12.75">
      <c r="A293" s="4"/>
      <c r="B293" s="4"/>
      <c r="C293" s="4"/>
      <c r="D293" s="4"/>
      <c r="E293" s="4"/>
      <c r="F293" s="4"/>
      <c r="G293" s="258" t="s">
        <v>1429</v>
      </c>
      <c r="H293" s="258" t="s">
        <v>329</v>
      </c>
      <c r="I293" s="274" t="s">
        <v>1430</v>
      </c>
      <c r="J293" s="257"/>
      <c r="K293" s="4"/>
    </row>
    <row r="294" spans="1:11" ht="12.75">
      <c r="A294" s="4"/>
      <c r="B294" s="4"/>
      <c r="C294" s="4"/>
      <c r="D294" s="4"/>
      <c r="E294" s="4"/>
      <c r="F294" s="4"/>
      <c r="G294" s="258" t="s">
        <v>972</v>
      </c>
      <c r="H294" s="258" t="s">
        <v>340</v>
      </c>
      <c r="I294" s="274" t="s">
        <v>973</v>
      </c>
      <c r="J294" s="257"/>
      <c r="K294" s="4"/>
    </row>
    <row r="295" spans="1:11" ht="12.75">
      <c r="A295" s="4"/>
      <c r="B295" s="4"/>
      <c r="C295" s="4"/>
      <c r="D295" s="4"/>
      <c r="E295" s="4"/>
      <c r="F295" s="4"/>
      <c r="G295" s="258" t="s">
        <v>239</v>
      </c>
      <c r="H295" s="258" t="s">
        <v>352</v>
      </c>
      <c r="I295" s="274" t="s">
        <v>974</v>
      </c>
      <c r="J295" s="257"/>
      <c r="K295" s="4"/>
    </row>
    <row r="296" spans="1:11" ht="12.75">
      <c r="A296" s="4"/>
      <c r="B296" s="4"/>
      <c r="C296" s="4"/>
      <c r="D296" s="4"/>
      <c r="E296" s="4"/>
      <c r="F296" s="4"/>
      <c r="G296" s="258" t="s">
        <v>975</v>
      </c>
      <c r="H296" s="258" t="s">
        <v>327</v>
      </c>
      <c r="I296" s="274" t="s">
        <v>976</v>
      </c>
      <c r="J296" s="257"/>
      <c r="K296" s="4"/>
    </row>
    <row r="297" spans="1:11" ht="12.75">
      <c r="A297" s="4"/>
      <c r="B297" s="4"/>
      <c r="C297" s="4"/>
      <c r="D297" s="4"/>
      <c r="E297" s="4"/>
      <c r="F297" s="4"/>
      <c r="G297" s="258" t="s">
        <v>420</v>
      </c>
      <c r="H297" s="258" t="s">
        <v>329</v>
      </c>
      <c r="I297" s="274" t="s">
        <v>977</v>
      </c>
      <c r="J297" s="257"/>
      <c r="K297" s="4"/>
    </row>
    <row r="298" spans="1:11" ht="12.75">
      <c r="A298" s="4"/>
      <c r="B298" s="4"/>
      <c r="C298" s="4"/>
      <c r="D298" s="4"/>
      <c r="E298" s="4"/>
      <c r="F298" s="4"/>
      <c r="G298" s="258" t="s">
        <v>628</v>
      </c>
      <c r="H298" s="258" t="s">
        <v>334</v>
      </c>
      <c r="I298" s="274" t="s">
        <v>978</v>
      </c>
      <c r="J298" s="257"/>
      <c r="K298" s="4"/>
    </row>
    <row r="299" spans="1:11" ht="12.75">
      <c r="A299" s="4"/>
      <c r="B299" s="4"/>
      <c r="C299" s="4"/>
      <c r="D299" s="4"/>
      <c r="E299" s="4"/>
      <c r="F299" s="4"/>
      <c r="G299" s="258" t="s">
        <v>421</v>
      </c>
      <c r="H299" s="258" t="s">
        <v>365</v>
      </c>
      <c r="I299" s="274" t="s">
        <v>979</v>
      </c>
      <c r="J299" s="257"/>
      <c r="K299" s="4"/>
    </row>
    <row r="300" spans="1:11" ht="12.75">
      <c r="A300" s="4"/>
      <c r="B300" s="4"/>
      <c r="C300" s="4"/>
      <c r="D300" s="4"/>
      <c r="E300" s="4"/>
      <c r="F300" s="4"/>
      <c r="G300" s="258" t="s">
        <v>1431</v>
      </c>
      <c r="H300" s="258" t="s">
        <v>354</v>
      </c>
      <c r="I300" s="274" t="s">
        <v>1432</v>
      </c>
      <c r="J300" s="257"/>
      <c r="K300" s="4"/>
    </row>
    <row r="301" spans="1:11" ht="12.75">
      <c r="A301" s="4"/>
      <c r="B301" s="4"/>
      <c r="C301" s="4"/>
      <c r="D301" s="4"/>
      <c r="E301" s="4"/>
      <c r="F301" s="4"/>
      <c r="G301" s="258" t="s">
        <v>980</v>
      </c>
      <c r="H301" s="258" t="s">
        <v>354</v>
      </c>
      <c r="I301" s="274" t="s">
        <v>981</v>
      </c>
      <c r="J301" s="257"/>
      <c r="K301" s="4"/>
    </row>
    <row r="302" spans="1:11" ht="12.75">
      <c r="A302" s="4"/>
      <c r="B302" s="4"/>
      <c r="C302" s="4"/>
      <c r="D302" s="4"/>
      <c r="E302" s="4"/>
      <c r="F302" s="4"/>
      <c r="G302" s="258" t="s">
        <v>561</v>
      </c>
      <c r="H302" s="258" t="s">
        <v>327</v>
      </c>
      <c r="I302" s="274" t="s">
        <v>982</v>
      </c>
      <c r="J302" s="257"/>
      <c r="K302" s="4"/>
    </row>
    <row r="303" spans="1:11" ht="12.75">
      <c r="A303" s="4"/>
      <c r="B303" s="4"/>
      <c r="C303" s="4"/>
      <c r="D303" s="4"/>
      <c r="E303" s="4"/>
      <c r="F303" s="4"/>
      <c r="G303" s="258" t="s">
        <v>422</v>
      </c>
      <c r="H303" s="258" t="s">
        <v>347</v>
      </c>
      <c r="I303" s="274" t="s">
        <v>983</v>
      </c>
      <c r="J303" s="257"/>
      <c r="K303" s="4"/>
    </row>
    <row r="304" spans="1:11" ht="12.75">
      <c r="A304" s="4"/>
      <c r="B304" s="4"/>
      <c r="C304" s="4"/>
      <c r="D304" s="4"/>
      <c r="E304" s="4"/>
      <c r="F304" s="4"/>
      <c r="G304" s="258" t="s">
        <v>240</v>
      </c>
      <c r="H304" s="258" t="s">
        <v>339</v>
      </c>
      <c r="I304" s="274" t="s">
        <v>984</v>
      </c>
      <c r="J304" s="257"/>
      <c r="K304" s="4"/>
    </row>
    <row r="305" spans="1:11" ht="12.75">
      <c r="A305" s="4"/>
      <c r="B305" s="4"/>
      <c r="C305" s="4"/>
      <c r="D305" s="4"/>
      <c r="E305" s="4"/>
      <c r="F305" s="4"/>
      <c r="G305" s="258" t="s">
        <v>1433</v>
      </c>
      <c r="H305" s="258" t="s">
        <v>343</v>
      </c>
      <c r="I305" s="274" t="s">
        <v>1434</v>
      </c>
      <c r="J305" s="257"/>
      <c r="K305" s="4"/>
    </row>
    <row r="306" spans="1:11" ht="12.75">
      <c r="A306" s="4"/>
      <c r="B306" s="4"/>
      <c r="C306" s="4"/>
      <c r="D306" s="4"/>
      <c r="E306" s="4"/>
      <c r="F306" s="4"/>
      <c r="G306" s="258" t="s">
        <v>1435</v>
      </c>
      <c r="H306" s="258" t="s">
        <v>352</v>
      </c>
      <c r="I306" s="274" t="s">
        <v>1436</v>
      </c>
      <c r="J306" s="257"/>
      <c r="K306" s="4"/>
    </row>
    <row r="307" spans="1:11" ht="12.75">
      <c r="A307" s="4"/>
      <c r="B307" s="4"/>
      <c r="C307" s="4"/>
      <c r="D307" s="4"/>
      <c r="E307" s="4"/>
      <c r="F307" s="4"/>
      <c r="G307" s="258" t="s">
        <v>423</v>
      </c>
      <c r="H307" s="258" t="s">
        <v>331</v>
      </c>
      <c r="I307" s="274" t="s">
        <v>985</v>
      </c>
      <c r="J307" s="257"/>
      <c r="K307" s="4"/>
    </row>
    <row r="308" spans="1:11" ht="12.75">
      <c r="A308" s="4"/>
      <c r="B308" s="4"/>
      <c r="C308" s="4"/>
      <c r="D308" s="4"/>
      <c r="E308" s="4"/>
      <c r="F308" s="4"/>
      <c r="G308" s="258" t="s">
        <v>1437</v>
      </c>
      <c r="H308" s="258" t="s">
        <v>349</v>
      </c>
      <c r="I308" s="274" t="s">
        <v>1438</v>
      </c>
      <c r="J308" s="257"/>
      <c r="K308" s="4"/>
    </row>
    <row r="309" spans="1:11" ht="12.75">
      <c r="A309" s="4"/>
      <c r="B309" s="4"/>
      <c r="C309" s="4"/>
      <c r="D309" s="4"/>
      <c r="E309" s="4"/>
      <c r="F309" s="4"/>
      <c r="G309" s="258" t="s">
        <v>241</v>
      </c>
      <c r="H309" s="258" t="s">
        <v>329</v>
      </c>
      <c r="I309" s="274" t="s">
        <v>986</v>
      </c>
      <c r="J309" s="257"/>
      <c r="K309" s="4"/>
    </row>
    <row r="310" spans="1:11" ht="12.75">
      <c r="A310" s="4"/>
      <c r="B310" s="4"/>
      <c r="C310" s="4"/>
      <c r="D310" s="4"/>
      <c r="E310" s="4"/>
      <c r="F310" s="4"/>
      <c r="G310" s="258" t="s">
        <v>242</v>
      </c>
      <c r="H310" s="258" t="s">
        <v>327</v>
      </c>
      <c r="I310" s="274" t="s">
        <v>987</v>
      </c>
      <c r="J310" s="257"/>
      <c r="K310" s="4"/>
    </row>
    <row r="311" spans="1:11" ht="12.75">
      <c r="A311" s="4"/>
      <c r="B311" s="4"/>
      <c r="C311" s="4"/>
      <c r="D311" s="4"/>
      <c r="E311" s="4"/>
      <c r="F311" s="4"/>
      <c r="G311" s="258" t="s">
        <v>629</v>
      </c>
      <c r="H311" s="258" t="s">
        <v>339</v>
      </c>
      <c r="I311" s="274" t="s">
        <v>988</v>
      </c>
      <c r="J311" s="257"/>
      <c r="K311" s="4"/>
    </row>
    <row r="312" spans="1:11" ht="12.75">
      <c r="A312" s="4"/>
      <c r="B312" s="4"/>
      <c r="C312" s="4"/>
      <c r="D312" s="4"/>
      <c r="E312" s="4"/>
      <c r="F312" s="4"/>
      <c r="G312" s="258" t="s">
        <v>989</v>
      </c>
      <c r="H312" s="258" t="s">
        <v>329</v>
      </c>
      <c r="I312" s="274" t="s">
        <v>990</v>
      </c>
      <c r="J312" s="257"/>
      <c r="K312" s="4"/>
    </row>
    <row r="313" spans="1:11" ht="12.75">
      <c r="A313" s="4"/>
      <c r="B313" s="4"/>
      <c r="C313" s="4"/>
      <c r="D313" s="4"/>
      <c r="E313" s="4"/>
      <c r="F313" s="4"/>
      <c r="G313" s="258" t="s">
        <v>630</v>
      </c>
      <c r="H313" s="258" t="s">
        <v>368</v>
      </c>
      <c r="I313" s="274" t="s">
        <v>991</v>
      </c>
      <c r="J313" s="257"/>
      <c r="K313" s="4"/>
    </row>
    <row r="314" spans="1:11" ht="12.75">
      <c r="A314" s="4"/>
      <c r="B314" s="4"/>
      <c r="C314" s="4"/>
      <c r="D314" s="4"/>
      <c r="E314" s="4"/>
      <c r="F314" s="4"/>
      <c r="G314" s="258" t="s">
        <v>1439</v>
      </c>
      <c r="H314" s="258" t="s">
        <v>330</v>
      </c>
      <c r="I314" s="274" t="s">
        <v>1440</v>
      </c>
      <c r="J314" s="257"/>
      <c r="K314" s="4"/>
    </row>
    <row r="315" spans="1:11" ht="12.75">
      <c r="A315" s="4"/>
      <c r="B315" s="4"/>
      <c r="C315" s="4"/>
      <c r="D315" s="4"/>
      <c r="E315" s="4"/>
      <c r="F315" s="4"/>
      <c r="G315" s="258" t="s">
        <v>992</v>
      </c>
      <c r="H315" s="258" t="s">
        <v>349</v>
      </c>
      <c r="I315" s="274" t="s">
        <v>993</v>
      </c>
      <c r="J315" s="257"/>
      <c r="K315" s="4"/>
    </row>
    <row r="316" spans="1:11" ht="12.75">
      <c r="A316" s="4"/>
      <c r="B316" s="4"/>
      <c r="C316" s="4"/>
      <c r="D316" s="4"/>
      <c r="E316" s="4"/>
      <c r="F316" s="4"/>
      <c r="G316" s="258" t="s">
        <v>1441</v>
      </c>
      <c r="H316" s="258" t="s">
        <v>328</v>
      </c>
      <c r="I316" s="274" t="s">
        <v>1442</v>
      </c>
      <c r="J316" s="257"/>
      <c r="K316" s="4"/>
    </row>
    <row r="317" spans="1:11" ht="12.75">
      <c r="A317" s="4"/>
      <c r="B317" s="4"/>
      <c r="C317" s="4"/>
      <c r="D317" s="4"/>
      <c r="E317" s="4"/>
      <c r="F317" s="4"/>
      <c r="G317" s="258" t="s">
        <v>243</v>
      </c>
      <c r="H317" s="258" t="s">
        <v>327</v>
      </c>
      <c r="I317" s="274" t="s">
        <v>994</v>
      </c>
      <c r="J317" s="257"/>
      <c r="K317" s="4"/>
    </row>
    <row r="318" spans="1:11" ht="12.75">
      <c r="A318" s="4"/>
      <c r="B318" s="4"/>
      <c r="C318" s="4"/>
      <c r="D318" s="4"/>
      <c r="E318" s="4"/>
      <c r="F318" s="4"/>
      <c r="G318" s="258" t="s">
        <v>424</v>
      </c>
      <c r="H318" s="258" t="s">
        <v>343</v>
      </c>
      <c r="I318" s="274" t="s">
        <v>995</v>
      </c>
      <c r="J318" s="257"/>
      <c r="K318" s="4"/>
    </row>
    <row r="319" spans="1:11" ht="12.75">
      <c r="A319" s="4"/>
      <c r="B319" s="4"/>
      <c r="C319" s="4"/>
      <c r="D319" s="4"/>
      <c r="E319" s="4"/>
      <c r="F319" s="4"/>
      <c r="G319" s="258" t="s">
        <v>996</v>
      </c>
      <c r="H319" s="258" t="s">
        <v>332</v>
      </c>
      <c r="I319" s="274" t="s">
        <v>997</v>
      </c>
      <c r="J319" s="257"/>
      <c r="K319" s="4"/>
    </row>
    <row r="320" spans="1:11" ht="12.75">
      <c r="A320" s="4"/>
      <c r="B320" s="4"/>
      <c r="C320" s="4"/>
      <c r="D320" s="4"/>
      <c r="E320" s="4"/>
      <c r="F320" s="4"/>
      <c r="G320" s="258" t="s">
        <v>244</v>
      </c>
      <c r="H320" s="258" t="s">
        <v>352</v>
      </c>
      <c r="I320" s="274" t="s">
        <v>998</v>
      </c>
      <c r="J320" s="257"/>
      <c r="K320" s="4"/>
    </row>
    <row r="321" spans="1:11" ht="12.75">
      <c r="A321" s="4"/>
      <c r="B321" s="4"/>
      <c r="C321" s="4"/>
      <c r="D321" s="4"/>
      <c r="E321" s="4"/>
      <c r="F321" s="4"/>
      <c r="G321" s="258" t="s">
        <v>425</v>
      </c>
      <c r="H321" s="258" t="s">
        <v>548</v>
      </c>
      <c r="I321" s="274" t="s">
        <v>999</v>
      </c>
      <c r="J321" s="257"/>
      <c r="K321" s="4"/>
    </row>
    <row r="322" spans="1:11" ht="12.75">
      <c r="A322" s="4"/>
      <c r="B322" s="4"/>
      <c r="C322" s="4"/>
      <c r="D322" s="4"/>
      <c r="E322" s="4"/>
      <c r="F322" s="4"/>
      <c r="G322" s="258" t="s">
        <v>1000</v>
      </c>
      <c r="H322" s="258" t="s">
        <v>367</v>
      </c>
      <c r="I322" s="274" t="s">
        <v>1001</v>
      </c>
      <c r="J322" s="257"/>
      <c r="K322" s="4"/>
    </row>
    <row r="323" spans="1:11" ht="12.75">
      <c r="A323" s="4"/>
      <c r="B323" s="4"/>
      <c r="C323" s="4"/>
      <c r="D323" s="4"/>
      <c r="E323" s="4"/>
      <c r="F323" s="4"/>
      <c r="G323" s="258" t="s">
        <v>245</v>
      </c>
      <c r="H323" s="258" t="s">
        <v>400</v>
      </c>
      <c r="I323" s="274" t="s">
        <v>1002</v>
      </c>
      <c r="J323" s="257"/>
      <c r="K323" s="4"/>
    </row>
    <row r="324" spans="1:11" ht="12.75">
      <c r="A324" s="4"/>
      <c r="B324" s="4"/>
      <c r="C324" s="4"/>
      <c r="D324" s="4"/>
      <c r="E324" s="4"/>
      <c r="F324" s="4"/>
      <c r="G324" s="258" t="s">
        <v>1443</v>
      </c>
      <c r="H324" s="258" t="s">
        <v>349</v>
      </c>
      <c r="I324" s="274" t="s">
        <v>1444</v>
      </c>
      <c r="J324" s="257"/>
      <c r="K324" s="4"/>
    </row>
    <row r="325" spans="1:11" ht="12.75">
      <c r="A325" s="4"/>
      <c r="B325" s="4"/>
      <c r="C325" s="4"/>
      <c r="D325" s="4"/>
      <c r="E325" s="4"/>
      <c r="F325" s="4"/>
      <c r="G325" s="258" t="s">
        <v>1445</v>
      </c>
      <c r="H325" s="258" t="s">
        <v>548</v>
      </c>
      <c r="I325" s="274" t="s">
        <v>1446</v>
      </c>
      <c r="J325" s="257"/>
      <c r="K325" s="4"/>
    </row>
    <row r="326" spans="1:11" ht="12.75">
      <c r="A326" s="4"/>
      <c r="B326" s="4"/>
      <c r="C326" s="4"/>
      <c r="D326" s="4"/>
      <c r="E326" s="4"/>
      <c r="F326" s="4"/>
      <c r="G326" s="258" t="s">
        <v>1003</v>
      </c>
      <c r="H326" s="258" t="s">
        <v>339</v>
      </c>
      <c r="I326" s="274" t="s">
        <v>1004</v>
      </c>
      <c r="J326" s="257"/>
      <c r="K326" s="4"/>
    </row>
    <row r="327" spans="1:11" ht="12.75">
      <c r="A327" s="4"/>
      <c r="B327" s="4"/>
      <c r="C327" s="4"/>
      <c r="D327" s="4"/>
      <c r="E327" s="4"/>
      <c r="F327" s="4"/>
      <c r="G327" s="258" t="s">
        <v>426</v>
      </c>
      <c r="H327" s="258" t="s">
        <v>352</v>
      </c>
      <c r="I327" s="274" t="s">
        <v>1005</v>
      </c>
      <c r="J327" s="257"/>
      <c r="K327" s="4"/>
    </row>
    <row r="328" spans="1:11" ht="12.75">
      <c r="A328" s="4"/>
      <c r="B328" s="4"/>
      <c r="C328" s="4"/>
      <c r="D328" s="4"/>
      <c r="E328" s="4"/>
      <c r="F328" s="4"/>
      <c r="G328" s="258" t="s">
        <v>1006</v>
      </c>
      <c r="H328" s="258" t="s">
        <v>352</v>
      </c>
      <c r="I328" s="274" t="s">
        <v>1007</v>
      </c>
      <c r="J328" s="257"/>
      <c r="K328" s="4"/>
    </row>
    <row r="329" spans="1:11" ht="12.75">
      <c r="A329" s="4"/>
      <c r="B329" s="4"/>
      <c r="C329" s="4"/>
      <c r="D329" s="4"/>
      <c r="E329" s="4"/>
      <c r="F329" s="4"/>
      <c r="G329" s="258" t="s">
        <v>1008</v>
      </c>
      <c r="H329" s="258" t="s">
        <v>352</v>
      </c>
      <c r="I329" s="274" t="s">
        <v>1009</v>
      </c>
      <c r="J329" s="257"/>
      <c r="K329" s="4"/>
    </row>
    <row r="330" spans="1:11" ht="12.75">
      <c r="A330" s="4"/>
      <c r="B330" s="4"/>
      <c r="C330" s="4"/>
      <c r="D330" s="4"/>
      <c r="E330" s="4"/>
      <c r="F330" s="4"/>
      <c r="G330" s="258" t="s">
        <v>562</v>
      </c>
      <c r="H330" s="258" t="s">
        <v>347</v>
      </c>
      <c r="I330" s="274" t="s">
        <v>1010</v>
      </c>
      <c r="J330" s="257"/>
      <c r="K330" s="4"/>
    </row>
    <row r="331" spans="1:11" ht="12.75">
      <c r="A331" s="4"/>
      <c r="B331" s="4"/>
      <c r="C331" s="4"/>
      <c r="D331" s="4"/>
      <c r="E331" s="4"/>
      <c r="F331" s="4"/>
      <c r="G331" s="258" t="s">
        <v>427</v>
      </c>
      <c r="H331" s="258" t="s">
        <v>367</v>
      </c>
      <c r="I331" s="274" t="s">
        <v>1011</v>
      </c>
      <c r="J331" s="257"/>
      <c r="K331" s="4"/>
    </row>
    <row r="332" spans="1:11" ht="12.75">
      <c r="A332" s="4"/>
      <c r="B332" s="4"/>
      <c r="C332" s="4"/>
      <c r="D332" s="4"/>
      <c r="E332" s="4"/>
      <c r="F332" s="4"/>
      <c r="G332" s="258" t="s">
        <v>428</v>
      </c>
      <c r="H332" s="258" t="s">
        <v>329</v>
      </c>
      <c r="I332" s="274" t="s">
        <v>1012</v>
      </c>
      <c r="J332" s="257"/>
      <c r="K332" s="4"/>
    </row>
    <row r="333" spans="1:11" ht="12.75">
      <c r="A333" s="4"/>
      <c r="B333" s="4"/>
      <c r="C333" s="4"/>
      <c r="D333" s="4"/>
      <c r="E333" s="4"/>
      <c r="F333" s="4"/>
      <c r="G333" s="258" t="s">
        <v>1447</v>
      </c>
      <c r="H333" s="258" t="s">
        <v>327</v>
      </c>
      <c r="I333" s="274" t="s">
        <v>1448</v>
      </c>
      <c r="J333" s="257"/>
      <c r="K333" s="4"/>
    </row>
    <row r="334" spans="1:11" ht="12.75">
      <c r="A334" s="4"/>
      <c r="B334" s="4"/>
      <c r="C334" s="4"/>
      <c r="D334" s="4"/>
      <c r="E334" s="4"/>
      <c r="F334" s="4"/>
      <c r="G334" s="258" t="s">
        <v>1013</v>
      </c>
      <c r="H334" s="258" t="s">
        <v>334</v>
      </c>
      <c r="I334" s="274" t="s">
        <v>1014</v>
      </c>
      <c r="J334" s="257"/>
      <c r="K334" s="4"/>
    </row>
    <row r="335" spans="1:11" ht="12.75">
      <c r="A335" s="4"/>
      <c r="B335" s="4"/>
      <c r="C335" s="4"/>
      <c r="D335" s="4"/>
      <c r="E335" s="4"/>
      <c r="F335" s="4"/>
      <c r="G335" s="258" t="s">
        <v>631</v>
      </c>
      <c r="H335" s="258" t="s">
        <v>329</v>
      </c>
      <c r="I335" s="274" t="s">
        <v>1015</v>
      </c>
      <c r="J335" s="257"/>
      <c r="K335" s="4"/>
    </row>
    <row r="336" spans="1:11" ht="12.75">
      <c r="A336" s="4"/>
      <c r="B336" s="4"/>
      <c r="C336" s="4"/>
      <c r="D336" s="4"/>
      <c r="E336" s="4"/>
      <c r="F336" s="4"/>
      <c r="G336" s="258" t="s">
        <v>632</v>
      </c>
      <c r="H336" s="258" t="s">
        <v>343</v>
      </c>
      <c r="I336" s="274" t="s">
        <v>1016</v>
      </c>
      <c r="J336" s="257"/>
      <c r="K336" s="4"/>
    </row>
    <row r="337" spans="1:11" ht="12.75">
      <c r="A337" s="4"/>
      <c r="B337" s="4"/>
      <c r="C337" s="4"/>
      <c r="D337" s="4"/>
      <c r="E337" s="4"/>
      <c r="F337" s="4"/>
      <c r="G337" s="258" t="s">
        <v>429</v>
      </c>
      <c r="H337" s="258" t="s">
        <v>352</v>
      </c>
      <c r="I337" s="274" t="s">
        <v>1017</v>
      </c>
      <c r="J337" s="257"/>
      <c r="K337" s="4"/>
    </row>
    <row r="338" spans="1:11" ht="12.75">
      <c r="A338" s="4"/>
      <c r="B338" s="4"/>
      <c r="C338" s="4"/>
      <c r="D338" s="4"/>
      <c r="E338" s="4"/>
      <c r="F338" s="4"/>
      <c r="G338" s="258" t="s">
        <v>246</v>
      </c>
      <c r="H338" s="258" t="s">
        <v>352</v>
      </c>
      <c r="I338" s="274" t="s">
        <v>1018</v>
      </c>
      <c r="J338" s="257"/>
      <c r="K338" s="4"/>
    </row>
    <row r="339" spans="1:11" ht="12.75">
      <c r="A339" s="4"/>
      <c r="B339" s="4"/>
      <c r="C339" s="4"/>
      <c r="D339" s="4"/>
      <c r="E339" s="4"/>
      <c r="F339" s="4"/>
      <c r="G339" s="258" t="s">
        <v>430</v>
      </c>
      <c r="H339" s="258" t="s">
        <v>338</v>
      </c>
      <c r="I339" s="274" t="s">
        <v>1019</v>
      </c>
      <c r="J339" s="257"/>
      <c r="K339" s="4"/>
    </row>
    <row r="340" spans="1:11" ht="12.75">
      <c r="A340" s="4"/>
      <c r="B340" s="4"/>
      <c r="C340" s="4"/>
      <c r="D340" s="4"/>
      <c r="E340" s="4"/>
      <c r="F340" s="4"/>
      <c r="G340" s="258" t="s">
        <v>247</v>
      </c>
      <c r="H340" s="258" t="s">
        <v>338</v>
      </c>
      <c r="I340" s="274" t="s">
        <v>1020</v>
      </c>
      <c r="J340" s="257"/>
      <c r="K340" s="4"/>
    </row>
    <row r="341" spans="1:11" ht="12.75">
      <c r="A341" s="4"/>
      <c r="B341" s="4"/>
      <c r="C341" s="4"/>
      <c r="D341" s="4"/>
      <c r="E341" s="4"/>
      <c r="F341" s="4"/>
      <c r="G341" s="258" t="s">
        <v>1021</v>
      </c>
      <c r="H341" s="258" t="s">
        <v>347</v>
      </c>
      <c r="I341" s="274" t="s">
        <v>1022</v>
      </c>
      <c r="J341" s="257"/>
      <c r="K341" s="4"/>
    </row>
    <row r="342" spans="1:11" ht="12.75">
      <c r="A342" s="4"/>
      <c r="B342" s="4"/>
      <c r="C342" s="4"/>
      <c r="D342" s="4"/>
      <c r="E342" s="4"/>
      <c r="F342" s="4"/>
      <c r="G342" s="258" t="s">
        <v>248</v>
      </c>
      <c r="H342" s="258" t="s">
        <v>352</v>
      </c>
      <c r="I342" s="274" t="s">
        <v>1023</v>
      </c>
      <c r="J342" s="257"/>
      <c r="K342" s="4"/>
    </row>
    <row r="343" spans="1:11" ht="12.75">
      <c r="A343" s="4"/>
      <c r="B343" s="4"/>
      <c r="C343" s="4"/>
      <c r="D343" s="4"/>
      <c r="E343" s="4"/>
      <c r="F343" s="4"/>
      <c r="G343" s="258" t="s">
        <v>249</v>
      </c>
      <c r="H343" s="258" t="s">
        <v>327</v>
      </c>
      <c r="I343" s="274" t="s">
        <v>1024</v>
      </c>
      <c r="J343" s="257"/>
      <c r="K343" s="4"/>
    </row>
    <row r="344" spans="1:11" ht="12.75">
      <c r="A344" s="4"/>
      <c r="B344" s="4"/>
      <c r="C344" s="4"/>
      <c r="D344" s="4"/>
      <c r="E344" s="4"/>
      <c r="F344" s="4"/>
      <c r="G344" s="258" t="s">
        <v>1025</v>
      </c>
      <c r="H344" s="258" t="s">
        <v>330</v>
      </c>
      <c r="I344" s="274" t="s">
        <v>1026</v>
      </c>
      <c r="J344" s="257"/>
      <c r="K344" s="4"/>
    </row>
    <row r="345" spans="1:11" ht="12.75">
      <c r="A345" s="4"/>
      <c r="B345" s="4"/>
      <c r="C345" s="4"/>
      <c r="D345" s="4"/>
      <c r="E345" s="4"/>
      <c r="F345" s="4"/>
      <c r="G345" s="258" t="s">
        <v>1027</v>
      </c>
      <c r="H345" s="258" t="s">
        <v>337</v>
      </c>
      <c r="I345" s="274" t="s">
        <v>1028</v>
      </c>
      <c r="J345" s="257"/>
      <c r="K345" s="4"/>
    </row>
    <row r="346" spans="1:11" ht="12.75">
      <c r="A346" s="4"/>
      <c r="B346" s="4"/>
      <c r="C346" s="4"/>
      <c r="D346" s="4"/>
      <c r="E346" s="4"/>
      <c r="F346" s="4"/>
      <c r="G346" s="258" t="s">
        <v>633</v>
      </c>
      <c r="H346" s="258" t="s">
        <v>337</v>
      </c>
      <c r="I346" s="274" t="s">
        <v>1029</v>
      </c>
      <c r="J346" s="257"/>
      <c r="K346" s="4"/>
    </row>
    <row r="347" spans="1:11" ht="12.75">
      <c r="A347" s="4"/>
      <c r="B347" s="4"/>
      <c r="C347" s="4"/>
      <c r="D347" s="4"/>
      <c r="E347" s="4"/>
      <c r="F347" s="4"/>
      <c r="G347" s="258" t="s">
        <v>250</v>
      </c>
      <c r="H347" s="258" t="s">
        <v>341</v>
      </c>
      <c r="I347" s="274" t="s">
        <v>1030</v>
      </c>
      <c r="J347" s="257"/>
      <c r="K347" s="4"/>
    </row>
    <row r="348" spans="1:11" ht="12.75">
      <c r="A348" s="4"/>
      <c r="B348" s="4"/>
      <c r="C348" s="4"/>
      <c r="D348" s="4"/>
      <c r="E348" s="4"/>
      <c r="F348" s="4"/>
      <c r="G348" s="258" t="s">
        <v>1031</v>
      </c>
      <c r="H348" s="258" t="s">
        <v>331</v>
      </c>
      <c r="I348" s="274" t="s">
        <v>1032</v>
      </c>
      <c r="J348" s="257"/>
      <c r="K348" s="4"/>
    </row>
    <row r="349" spans="1:11" ht="12.75">
      <c r="A349" s="4"/>
      <c r="B349" s="4"/>
      <c r="C349" s="4"/>
      <c r="D349" s="4"/>
      <c r="E349" s="4"/>
      <c r="F349" s="4"/>
      <c r="G349" s="258" t="s">
        <v>1449</v>
      </c>
      <c r="H349" s="258" t="s">
        <v>328</v>
      </c>
      <c r="I349" s="274" t="s">
        <v>1450</v>
      </c>
      <c r="J349" s="257"/>
      <c r="K349" s="4"/>
    </row>
    <row r="350" spans="1:11" ht="12.75">
      <c r="A350" s="4"/>
      <c r="B350" s="4"/>
      <c r="C350" s="4"/>
      <c r="D350" s="4"/>
      <c r="E350" s="4"/>
      <c r="F350" s="4"/>
      <c r="G350" s="258" t="s">
        <v>1451</v>
      </c>
      <c r="H350" s="258" t="s">
        <v>328</v>
      </c>
      <c r="I350" s="274" t="s">
        <v>1452</v>
      </c>
      <c r="J350" s="257"/>
      <c r="K350" s="4"/>
    </row>
    <row r="351" spans="1:11" ht="12.75">
      <c r="A351" s="4"/>
      <c r="B351" s="4"/>
      <c r="C351" s="4"/>
      <c r="D351" s="4"/>
      <c r="E351" s="4"/>
      <c r="F351" s="4"/>
      <c r="G351" s="258" t="s">
        <v>1033</v>
      </c>
      <c r="H351" s="258" t="s">
        <v>330</v>
      </c>
      <c r="I351" s="274" t="s">
        <v>1034</v>
      </c>
      <c r="J351" s="257"/>
      <c r="K351" s="4"/>
    </row>
    <row r="352" spans="1:11" ht="12.75">
      <c r="A352" s="4"/>
      <c r="B352" s="4"/>
      <c r="C352" s="4"/>
      <c r="D352" s="4"/>
      <c r="E352" s="4"/>
      <c r="F352" s="4"/>
      <c r="G352" s="258" t="s">
        <v>634</v>
      </c>
      <c r="H352" s="258" t="s">
        <v>368</v>
      </c>
      <c r="I352" s="274" t="s">
        <v>1035</v>
      </c>
      <c r="J352" s="257"/>
      <c r="K352" s="4"/>
    </row>
    <row r="353" spans="1:11" ht="12.75">
      <c r="A353" s="4"/>
      <c r="B353" s="4"/>
      <c r="C353" s="4"/>
      <c r="D353" s="4"/>
      <c r="E353" s="4"/>
      <c r="F353" s="4"/>
      <c r="G353" s="258" t="s">
        <v>1036</v>
      </c>
      <c r="H353" s="258" t="s">
        <v>339</v>
      </c>
      <c r="I353" s="274" t="s">
        <v>1037</v>
      </c>
      <c r="J353" s="257"/>
      <c r="K353" s="4"/>
    </row>
    <row r="354" spans="1:11" ht="12.75">
      <c r="A354" s="4"/>
      <c r="B354" s="4"/>
      <c r="C354" s="4"/>
      <c r="D354" s="4"/>
      <c r="E354" s="4"/>
      <c r="F354" s="4"/>
      <c r="G354" s="258" t="s">
        <v>1038</v>
      </c>
      <c r="H354" s="258" t="s">
        <v>354</v>
      </c>
      <c r="I354" s="274" t="s">
        <v>1039</v>
      </c>
      <c r="J354" s="257"/>
      <c r="K354" s="4"/>
    </row>
    <row r="355" spans="1:11" ht="12.75">
      <c r="A355" s="4"/>
      <c r="B355" s="4"/>
      <c r="C355" s="4"/>
      <c r="D355" s="4"/>
      <c r="E355" s="4"/>
      <c r="F355" s="4"/>
      <c r="G355" s="258" t="s">
        <v>635</v>
      </c>
      <c r="H355" s="258" t="s">
        <v>327</v>
      </c>
      <c r="I355" s="274" t="s">
        <v>1040</v>
      </c>
      <c r="J355" s="257"/>
      <c r="K355" s="4"/>
    </row>
    <row r="356" spans="1:11" ht="12.75">
      <c r="A356" s="4"/>
      <c r="B356" s="4"/>
      <c r="C356" s="4"/>
      <c r="D356" s="4"/>
      <c r="E356" s="4"/>
      <c r="F356" s="4"/>
      <c r="G356" s="258" t="s">
        <v>431</v>
      </c>
      <c r="H356" s="258" t="s">
        <v>343</v>
      </c>
      <c r="I356" s="274" t="s">
        <v>1041</v>
      </c>
      <c r="J356" s="257"/>
      <c r="K356" s="4"/>
    </row>
    <row r="357" spans="1:11" ht="12.75">
      <c r="A357" s="4"/>
      <c r="B357" s="4"/>
      <c r="C357" s="4"/>
      <c r="D357" s="4"/>
      <c r="E357" s="4"/>
      <c r="F357" s="4"/>
      <c r="G357" s="258" t="s">
        <v>1042</v>
      </c>
      <c r="H357" s="258" t="s">
        <v>339</v>
      </c>
      <c r="I357" s="274" t="s">
        <v>1043</v>
      </c>
      <c r="J357" s="257"/>
      <c r="K357" s="4"/>
    </row>
    <row r="358" spans="1:11" ht="12.75">
      <c r="A358" s="4"/>
      <c r="B358" s="4"/>
      <c r="C358" s="4"/>
      <c r="D358" s="4"/>
      <c r="E358" s="4"/>
      <c r="F358" s="4"/>
      <c r="G358" s="258" t="s">
        <v>251</v>
      </c>
      <c r="H358" s="258" t="s">
        <v>376</v>
      </c>
      <c r="I358" s="274" t="s">
        <v>1044</v>
      </c>
      <c r="J358" s="257"/>
      <c r="K358" s="4"/>
    </row>
    <row r="359" spans="1:11" ht="12.75">
      <c r="A359" s="4"/>
      <c r="B359" s="4"/>
      <c r="C359" s="4"/>
      <c r="D359" s="4"/>
      <c r="E359" s="4"/>
      <c r="F359" s="4"/>
      <c r="G359" s="258" t="s">
        <v>252</v>
      </c>
      <c r="H359" s="258" t="s">
        <v>341</v>
      </c>
      <c r="I359" s="274" t="s">
        <v>1045</v>
      </c>
      <c r="J359" s="257"/>
      <c r="K359" s="4"/>
    </row>
    <row r="360" spans="1:11" ht="12.75">
      <c r="A360" s="4"/>
      <c r="B360" s="4"/>
      <c r="C360" s="4"/>
      <c r="D360" s="4"/>
      <c r="E360" s="4"/>
      <c r="F360" s="4"/>
      <c r="G360" s="258" t="s">
        <v>432</v>
      </c>
      <c r="H360" s="258" t="s">
        <v>329</v>
      </c>
      <c r="I360" s="274" t="s">
        <v>1046</v>
      </c>
      <c r="J360" s="257"/>
      <c r="K360" s="4"/>
    </row>
    <row r="361" spans="1:11" ht="12.75">
      <c r="A361" s="4"/>
      <c r="B361" s="4"/>
      <c r="C361" s="4"/>
      <c r="D361" s="4"/>
      <c r="E361" s="4"/>
      <c r="F361" s="4"/>
      <c r="G361" s="258" t="s">
        <v>253</v>
      </c>
      <c r="H361" s="258" t="s">
        <v>327</v>
      </c>
      <c r="I361" s="274" t="s">
        <v>1047</v>
      </c>
      <c r="J361" s="257"/>
      <c r="K361" s="4"/>
    </row>
    <row r="362" spans="1:11" ht="12.75">
      <c r="A362" s="4"/>
      <c r="B362" s="4"/>
      <c r="C362" s="4"/>
      <c r="D362" s="4"/>
      <c r="E362" s="4"/>
      <c r="F362" s="4"/>
      <c r="G362" s="258" t="s">
        <v>254</v>
      </c>
      <c r="H362" s="258" t="s">
        <v>327</v>
      </c>
      <c r="I362" s="274" t="s">
        <v>1048</v>
      </c>
      <c r="J362" s="257"/>
      <c r="K362" s="4"/>
    </row>
    <row r="363" spans="1:11" ht="12.75">
      <c r="A363" s="4"/>
      <c r="B363" s="4"/>
      <c r="C363" s="4"/>
      <c r="D363" s="4"/>
      <c r="E363" s="4"/>
      <c r="F363" s="4"/>
      <c r="G363" s="258" t="s">
        <v>255</v>
      </c>
      <c r="H363" s="258" t="s">
        <v>338</v>
      </c>
      <c r="I363" s="274" t="s">
        <v>1049</v>
      </c>
      <c r="J363" s="257"/>
      <c r="K363" s="4"/>
    </row>
    <row r="364" spans="1:11" ht="12.75">
      <c r="A364" s="4"/>
      <c r="B364" s="4"/>
      <c r="C364" s="4"/>
      <c r="D364" s="4"/>
      <c r="E364" s="4"/>
      <c r="F364" s="4"/>
      <c r="G364" s="258" t="s">
        <v>256</v>
      </c>
      <c r="H364" s="258" t="s">
        <v>327</v>
      </c>
      <c r="I364" s="274" t="s">
        <v>1050</v>
      </c>
      <c r="J364" s="257"/>
      <c r="K364" s="4"/>
    </row>
    <row r="365" spans="1:11" ht="12.75">
      <c r="A365" s="4"/>
      <c r="B365" s="4"/>
      <c r="C365" s="4"/>
      <c r="D365" s="4"/>
      <c r="E365" s="4"/>
      <c r="F365" s="4"/>
      <c r="G365" s="258" t="s">
        <v>1051</v>
      </c>
      <c r="H365" s="258" t="s">
        <v>349</v>
      </c>
      <c r="I365" s="274" t="s">
        <v>1052</v>
      </c>
      <c r="J365" s="257"/>
      <c r="K365" s="4"/>
    </row>
    <row r="366" spans="1:11" ht="12.75">
      <c r="A366" s="4"/>
      <c r="B366" s="4"/>
      <c r="C366" s="4"/>
      <c r="D366" s="4"/>
      <c r="E366" s="4"/>
      <c r="F366" s="4"/>
      <c r="G366" s="258" t="s">
        <v>1053</v>
      </c>
      <c r="H366" s="258" t="s">
        <v>332</v>
      </c>
      <c r="I366" s="274" t="s">
        <v>1054</v>
      </c>
      <c r="J366" s="257"/>
      <c r="K366" s="4"/>
    </row>
    <row r="367" spans="1:11" ht="12.75">
      <c r="A367" s="4"/>
      <c r="B367" s="4"/>
      <c r="C367" s="4"/>
      <c r="D367" s="4"/>
      <c r="E367" s="4"/>
      <c r="F367" s="4"/>
      <c r="G367" s="258" t="s">
        <v>257</v>
      </c>
      <c r="H367" s="258" t="s">
        <v>339</v>
      </c>
      <c r="I367" s="274" t="s">
        <v>1055</v>
      </c>
      <c r="J367" s="257"/>
      <c r="K367" s="4"/>
    </row>
    <row r="368" spans="1:11" ht="12.75">
      <c r="A368" s="4"/>
      <c r="B368" s="4"/>
      <c r="C368" s="4"/>
      <c r="D368" s="4"/>
      <c r="E368" s="4"/>
      <c r="F368" s="4"/>
      <c r="G368" s="258" t="s">
        <v>1056</v>
      </c>
      <c r="H368" s="258" t="s">
        <v>329</v>
      </c>
      <c r="I368" s="274" t="s">
        <v>1057</v>
      </c>
      <c r="J368" s="257"/>
      <c r="K368" s="4"/>
    </row>
    <row r="369" spans="1:11" ht="12.75">
      <c r="A369" s="4"/>
      <c r="B369" s="4"/>
      <c r="C369" s="4"/>
      <c r="D369" s="4"/>
      <c r="E369" s="4"/>
      <c r="F369" s="4"/>
      <c r="G369" s="258" t="s">
        <v>258</v>
      </c>
      <c r="H369" s="258" t="s">
        <v>339</v>
      </c>
      <c r="I369" s="274" t="s">
        <v>1058</v>
      </c>
      <c r="J369" s="257"/>
      <c r="K369" s="4"/>
    </row>
    <row r="370" spans="1:11" ht="12.75">
      <c r="A370" s="4"/>
      <c r="B370" s="4"/>
      <c r="C370" s="4"/>
      <c r="D370" s="4"/>
      <c r="E370" s="4"/>
      <c r="F370" s="4"/>
      <c r="G370" s="258" t="s">
        <v>1059</v>
      </c>
      <c r="H370" s="258" t="s">
        <v>354</v>
      </c>
      <c r="I370" s="274" t="s">
        <v>1060</v>
      </c>
      <c r="J370" s="257"/>
      <c r="K370" s="4"/>
    </row>
    <row r="371" spans="1:11" ht="12.75">
      <c r="A371" s="4"/>
      <c r="B371" s="4"/>
      <c r="C371" s="4"/>
      <c r="D371" s="4"/>
      <c r="E371" s="4"/>
      <c r="F371" s="4"/>
      <c r="G371" s="258" t="s">
        <v>1061</v>
      </c>
      <c r="H371" s="258" t="s">
        <v>329</v>
      </c>
      <c r="I371" s="274" t="s">
        <v>1062</v>
      </c>
      <c r="J371" s="257"/>
      <c r="K371" s="4"/>
    </row>
    <row r="372" spans="1:11" ht="12.75">
      <c r="A372" s="4"/>
      <c r="B372" s="4"/>
      <c r="C372" s="4"/>
      <c r="D372" s="4"/>
      <c r="E372" s="4"/>
      <c r="F372" s="4"/>
      <c r="G372" s="258" t="s">
        <v>259</v>
      </c>
      <c r="H372" s="258" t="s">
        <v>340</v>
      </c>
      <c r="I372" s="274" t="s">
        <v>1063</v>
      </c>
      <c r="J372" s="257"/>
      <c r="K372" s="4"/>
    </row>
    <row r="373" spans="1:11" ht="12.75">
      <c r="A373" s="4"/>
      <c r="B373" s="4"/>
      <c r="C373" s="4"/>
      <c r="D373" s="4"/>
      <c r="E373" s="4"/>
      <c r="F373" s="4"/>
      <c r="G373" s="258" t="s">
        <v>636</v>
      </c>
      <c r="H373" s="258" t="s">
        <v>376</v>
      </c>
      <c r="I373" s="274" t="s">
        <v>1064</v>
      </c>
      <c r="J373" s="257"/>
      <c r="K373" s="4"/>
    </row>
    <row r="374" spans="1:11" ht="12.75">
      <c r="A374" s="4"/>
      <c r="B374" s="4"/>
      <c r="C374" s="4"/>
      <c r="D374" s="4"/>
      <c r="E374" s="4"/>
      <c r="F374" s="4"/>
      <c r="G374" s="258" t="s">
        <v>260</v>
      </c>
      <c r="H374" s="258" t="s">
        <v>338</v>
      </c>
      <c r="I374" s="274" t="s">
        <v>1065</v>
      </c>
      <c r="J374" s="257"/>
      <c r="K374" s="4"/>
    </row>
    <row r="375" spans="1:11" ht="12.75">
      <c r="A375" s="4"/>
      <c r="B375" s="4"/>
      <c r="C375" s="4"/>
      <c r="D375" s="4"/>
      <c r="E375" s="4"/>
      <c r="F375" s="4"/>
      <c r="G375" s="258" t="s">
        <v>261</v>
      </c>
      <c r="H375" s="258" t="s">
        <v>368</v>
      </c>
      <c r="I375" s="274" t="s">
        <v>1066</v>
      </c>
      <c r="J375" s="257"/>
      <c r="K375" s="4"/>
    </row>
    <row r="376" spans="1:11" ht="12.75">
      <c r="A376" s="4"/>
      <c r="B376" s="4"/>
      <c r="C376" s="4"/>
      <c r="D376" s="4"/>
      <c r="E376" s="4"/>
      <c r="F376" s="4"/>
      <c r="G376" s="258" t="s">
        <v>1067</v>
      </c>
      <c r="H376" s="258" t="s">
        <v>349</v>
      </c>
      <c r="I376" s="274" t="s">
        <v>1068</v>
      </c>
      <c r="J376" s="257"/>
      <c r="K376" s="4"/>
    </row>
    <row r="377" spans="1:11" ht="12.75">
      <c r="A377" s="4"/>
      <c r="B377" s="4"/>
      <c r="C377" s="4"/>
      <c r="D377" s="4"/>
      <c r="E377" s="4"/>
      <c r="F377" s="4"/>
      <c r="G377" s="258" t="s">
        <v>637</v>
      </c>
      <c r="H377" s="258" t="s">
        <v>548</v>
      </c>
      <c r="I377" s="274" t="s">
        <v>1069</v>
      </c>
      <c r="J377" s="257"/>
      <c r="K377" s="4"/>
    </row>
    <row r="378" spans="1:11" ht="12.75">
      <c r="A378" s="4"/>
      <c r="B378" s="4"/>
      <c r="C378" s="4"/>
      <c r="D378" s="4"/>
      <c r="E378" s="4"/>
      <c r="F378" s="4"/>
      <c r="G378" s="258" t="s">
        <v>262</v>
      </c>
      <c r="H378" s="258" t="s">
        <v>341</v>
      </c>
      <c r="I378" s="274" t="s">
        <v>1070</v>
      </c>
      <c r="J378" s="257"/>
      <c r="K378" s="4"/>
    </row>
    <row r="379" spans="1:11" ht="12.75">
      <c r="A379" s="4"/>
      <c r="B379" s="4"/>
      <c r="C379" s="4"/>
      <c r="D379" s="4"/>
      <c r="E379" s="4"/>
      <c r="F379" s="4"/>
      <c r="G379" s="258" t="s">
        <v>1071</v>
      </c>
      <c r="H379" s="258" t="s">
        <v>349</v>
      </c>
      <c r="I379" s="274" t="s">
        <v>1072</v>
      </c>
      <c r="J379" s="257"/>
      <c r="K379" s="4"/>
    </row>
    <row r="380" spans="1:11" ht="12.75">
      <c r="A380" s="4"/>
      <c r="B380" s="4"/>
      <c r="C380" s="4"/>
      <c r="D380" s="4"/>
      <c r="E380" s="4"/>
      <c r="F380" s="4"/>
      <c r="G380" s="258" t="s">
        <v>1073</v>
      </c>
      <c r="H380" s="258" t="s">
        <v>349</v>
      </c>
      <c r="I380" s="274" t="s">
        <v>1074</v>
      </c>
      <c r="J380" s="257"/>
      <c r="K380" s="4"/>
    </row>
    <row r="381" spans="1:11" ht="12.75">
      <c r="A381" s="4"/>
      <c r="B381" s="4"/>
      <c r="C381" s="4"/>
      <c r="D381" s="4"/>
      <c r="E381" s="4"/>
      <c r="F381" s="4"/>
      <c r="G381" s="258" t="s">
        <v>263</v>
      </c>
      <c r="H381" s="258" t="s">
        <v>352</v>
      </c>
      <c r="I381" s="274" t="s">
        <v>1075</v>
      </c>
      <c r="J381" s="257"/>
      <c r="K381" s="4"/>
    </row>
    <row r="382" spans="1:11" ht="12.75">
      <c r="A382" s="4"/>
      <c r="B382" s="4"/>
      <c r="C382" s="4"/>
      <c r="D382" s="4"/>
      <c r="E382" s="4"/>
      <c r="F382" s="4"/>
      <c r="G382" s="258" t="s">
        <v>1453</v>
      </c>
      <c r="H382" s="258" t="s">
        <v>331</v>
      </c>
      <c r="I382" s="274" t="s">
        <v>1454</v>
      </c>
      <c r="J382" s="257"/>
      <c r="K382" s="4"/>
    </row>
    <row r="383" spans="1:11" ht="12.75">
      <c r="A383" s="4"/>
      <c r="B383" s="4"/>
      <c r="C383" s="4"/>
      <c r="D383" s="4"/>
      <c r="E383" s="4"/>
      <c r="F383" s="4"/>
      <c r="G383" s="258" t="s">
        <v>264</v>
      </c>
      <c r="H383" s="258" t="s">
        <v>329</v>
      </c>
      <c r="I383" s="274" t="s">
        <v>1076</v>
      </c>
      <c r="J383" s="257"/>
      <c r="K383" s="4"/>
    </row>
    <row r="384" spans="1:11" ht="12.75">
      <c r="A384" s="4"/>
      <c r="B384" s="4"/>
      <c r="C384" s="4"/>
      <c r="D384" s="4"/>
      <c r="E384" s="4"/>
      <c r="F384" s="4"/>
      <c r="G384" s="258" t="s">
        <v>265</v>
      </c>
      <c r="H384" s="258" t="s">
        <v>339</v>
      </c>
      <c r="I384" s="274" t="s">
        <v>1077</v>
      </c>
      <c r="J384" s="257"/>
      <c r="K384" s="4"/>
    </row>
    <row r="385" spans="1:11" ht="12.75">
      <c r="A385" s="4"/>
      <c r="B385" s="4"/>
      <c r="C385" s="4"/>
      <c r="D385" s="4"/>
      <c r="E385" s="4"/>
      <c r="F385" s="4"/>
      <c r="G385" s="258" t="s">
        <v>433</v>
      </c>
      <c r="H385" s="258" t="s">
        <v>330</v>
      </c>
      <c r="I385" s="274" t="s">
        <v>1078</v>
      </c>
      <c r="J385" s="257"/>
      <c r="K385" s="4"/>
    </row>
    <row r="386" spans="1:11" ht="12.75">
      <c r="A386" s="4"/>
      <c r="B386" s="4"/>
      <c r="C386" s="4"/>
      <c r="D386" s="4"/>
      <c r="E386" s="4"/>
      <c r="F386" s="4"/>
      <c r="G386" s="258" t="s">
        <v>434</v>
      </c>
      <c r="H386" s="258" t="s">
        <v>376</v>
      </c>
      <c r="I386" s="274" t="s">
        <v>1079</v>
      </c>
      <c r="J386" s="257"/>
      <c r="K386" s="4"/>
    </row>
    <row r="387" spans="1:11" ht="12.75">
      <c r="A387" s="4"/>
      <c r="B387" s="4"/>
      <c r="C387" s="4"/>
      <c r="D387" s="4"/>
      <c r="E387" s="4"/>
      <c r="F387" s="4"/>
      <c r="G387" s="258" t="s">
        <v>563</v>
      </c>
      <c r="H387" s="258" t="s">
        <v>352</v>
      </c>
      <c r="I387" s="274" t="s">
        <v>1080</v>
      </c>
      <c r="J387" s="257"/>
      <c r="K387" s="4"/>
    </row>
    <row r="388" spans="1:11" ht="12.75">
      <c r="A388" s="4"/>
      <c r="B388" s="4"/>
      <c r="C388" s="4"/>
      <c r="D388" s="4"/>
      <c r="E388" s="4"/>
      <c r="F388" s="4"/>
      <c r="G388" s="258" t="s">
        <v>1081</v>
      </c>
      <c r="H388" s="258" t="s">
        <v>354</v>
      </c>
      <c r="I388" s="274" t="s">
        <v>1082</v>
      </c>
      <c r="J388" s="257"/>
      <c r="K388" s="4"/>
    </row>
    <row r="389" spans="1:11" ht="12.75">
      <c r="A389" s="4"/>
      <c r="B389" s="4"/>
      <c r="C389" s="4"/>
      <c r="D389" s="4"/>
      <c r="E389" s="4"/>
      <c r="F389" s="4"/>
      <c r="G389" s="258" t="s">
        <v>1083</v>
      </c>
      <c r="H389" s="258" t="s">
        <v>347</v>
      </c>
      <c r="I389" s="274" t="s">
        <v>1084</v>
      </c>
      <c r="J389" s="257"/>
      <c r="K389" s="4"/>
    </row>
    <row r="390" spans="1:11" ht="12.75">
      <c r="A390" s="4"/>
      <c r="B390" s="4"/>
      <c r="C390" s="4"/>
      <c r="D390" s="4"/>
      <c r="E390" s="4"/>
      <c r="F390" s="4"/>
      <c r="G390" s="258" t="s">
        <v>435</v>
      </c>
      <c r="H390" s="258" t="s">
        <v>329</v>
      </c>
      <c r="I390" s="274" t="s">
        <v>1085</v>
      </c>
      <c r="J390" s="257"/>
      <c r="K390" s="4"/>
    </row>
    <row r="391" spans="1:11" ht="12.75">
      <c r="A391" s="4"/>
      <c r="B391" s="4"/>
      <c r="C391" s="4"/>
      <c r="D391" s="4"/>
      <c r="E391" s="4"/>
      <c r="F391" s="4"/>
      <c r="G391" s="258" t="s">
        <v>1086</v>
      </c>
      <c r="H391" s="258" t="s">
        <v>354</v>
      </c>
      <c r="I391" s="274" t="s">
        <v>1087</v>
      </c>
      <c r="J391" s="257"/>
      <c r="K391" s="4"/>
    </row>
    <row r="392" spans="1:11" ht="12.75">
      <c r="A392" s="4"/>
      <c r="B392" s="4"/>
      <c r="C392" s="4"/>
      <c r="D392" s="4"/>
      <c r="E392" s="4"/>
      <c r="F392" s="4"/>
      <c r="G392" s="258" t="s">
        <v>266</v>
      </c>
      <c r="H392" s="258" t="s">
        <v>331</v>
      </c>
      <c r="I392" s="274" t="s">
        <v>1088</v>
      </c>
      <c r="J392" s="257"/>
      <c r="K392" s="4"/>
    </row>
    <row r="393" spans="1:11" ht="12.75">
      <c r="A393" s="4"/>
      <c r="B393" s="4"/>
      <c r="C393" s="4"/>
      <c r="D393" s="4"/>
      <c r="E393" s="4"/>
      <c r="F393" s="4"/>
      <c r="G393" s="258" t="s">
        <v>267</v>
      </c>
      <c r="H393" s="258" t="s">
        <v>339</v>
      </c>
      <c r="I393" s="274" t="s">
        <v>1089</v>
      </c>
      <c r="J393" s="257"/>
      <c r="K393" s="4"/>
    </row>
    <row r="394" spans="1:11" ht="12.75">
      <c r="A394" s="4"/>
      <c r="B394" s="4"/>
      <c r="C394" s="4"/>
      <c r="D394" s="4"/>
      <c r="E394" s="4"/>
      <c r="F394" s="4"/>
      <c r="G394" s="258" t="s">
        <v>268</v>
      </c>
      <c r="H394" s="258" t="s">
        <v>347</v>
      </c>
      <c r="I394" s="274" t="s">
        <v>1090</v>
      </c>
      <c r="J394" s="257"/>
      <c r="K394" s="4"/>
    </row>
    <row r="395" spans="1:11" ht="12.75">
      <c r="A395" s="4"/>
      <c r="B395" s="4"/>
      <c r="C395" s="4"/>
      <c r="D395" s="4"/>
      <c r="E395" s="4"/>
      <c r="F395" s="4"/>
      <c r="G395" s="258" t="s">
        <v>436</v>
      </c>
      <c r="H395" s="258" t="s">
        <v>330</v>
      </c>
      <c r="I395" s="274" t="s">
        <v>1091</v>
      </c>
      <c r="J395" s="257"/>
      <c r="K395" s="4"/>
    </row>
    <row r="396" spans="1:11" ht="12.75">
      <c r="A396" s="4"/>
      <c r="B396" s="4"/>
      <c r="C396" s="4"/>
      <c r="D396" s="4"/>
      <c r="E396" s="4"/>
      <c r="F396" s="4"/>
      <c r="G396" s="258" t="s">
        <v>437</v>
      </c>
      <c r="H396" s="258" t="s">
        <v>341</v>
      </c>
      <c r="I396" s="274" t="s">
        <v>1092</v>
      </c>
      <c r="J396" s="257"/>
      <c r="K396" s="4"/>
    </row>
    <row r="397" spans="1:11" ht="12.75">
      <c r="A397" s="4"/>
      <c r="B397" s="4"/>
      <c r="C397" s="4"/>
      <c r="D397" s="4"/>
      <c r="E397" s="4"/>
      <c r="F397" s="4"/>
      <c r="G397" s="258" t="s">
        <v>269</v>
      </c>
      <c r="H397" s="258" t="s">
        <v>329</v>
      </c>
      <c r="I397" s="274" t="s">
        <v>1093</v>
      </c>
      <c r="J397" s="257"/>
      <c r="K397" s="4"/>
    </row>
    <row r="398" spans="1:11" ht="12.75">
      <c r="A398" s="4"/>
      <c r="B398" s="4"/>
      <c r="C398" s="4"/>
      <c r="D398" s="4"/>
      <c r="E398" s="4"/>
      <c r="F398" s="4"/>
      <c r="G398" s="258" t="s">
        <v>270</v>
      </c>
      <c r="H398" s="258" t="s">
        <v>349</v>
      </c>
      <c r="I398" s="274" t="s">
        <v>1094</v>
      </c>
      <c r="J398" s="257"/>
      <c r="K398" s="4"/>
    </row>
    <row r="399" spans="1:11" ht="12.75">
      <c r="A399" s="4"/>
      <c r="B399" s="4"/>
      <c r="C399" s="4"/>
      <c r="D399" s="4"/>
      <c r="E399" s="4"/>
      <c r="F399" s="4"/>
      <c r="G399" s="258" t="s">
        <v>1095</v>
      </c>
      <c r="H399" s="258" t="s">
        <v>349</v>
      </c>
      <c r="I399" s="274" t="s">
        <v>1096</v>
      </c>
      <c r="J399" s="257"/>
      <c r="K399" s="4"/>
    </row>
    <row r="400" spans="1:11" ht="12.75">
      <c r="A400" s="4"/>
      <c r="B400" s="4"/>
      <c r="C400" s="4"/>
      <c r="D400" s="4"/>
      <c r="E400" s="4"/>
      <c r="F400" s="4"/>
      <c r="G400" s="258" t="s">
        <v>271</v>
      </c>
      <c r="H400" s="258" t="s">
        <v>327</v>
      </c>
      <c r="I400" s="274" t="s">
        <v>1097</v>
      </c>
      <c r="J400" s="257"/>
      <c r="K400" s="4"/>
    </row>
    <row r="401" spans="1:11" ht="12.75">
      <c r="A401" s="4"/>
      <c r="B401" s="4"/>
      <c r="C401" s="4"/>
      <c r="D401" s="4"/>
      <c r="E401" s="4"/>
      <c r="F401" s="4"/>
      <c r="G401" s="258" t="s">
        <v>1455</v>
      </c>
      <c r="H401" s="258" t="s">
        <v>329</v>
      </c>
      <c r="I401" s="274" t="s">
        <v>1456</v>
      </c>
      <c r="J401" s="257"/>
      <c r="K401" s="4"/>
    </row>
    <row r="402" spans="1:11" ht="12.75">
      <c r="A402" s="4"/>
      <c r="B402" s="4"/>
      <c r="C402" s="4"/>
      <c r="D402" s="4"/>
      <c r="E402" s="4"/>
      <c r="F402" s="4"/>
      <c r="G402" s="258" t="s">
        <v>272</v>
      </c>
      <c r="H402" s="258" t="s">
        <v>331</v>
      </c>
      <c r="I402" s="274" t="s">
        <v>1098</v>
      </c>
      <c r="J402" s="257"/>
      <c r="K402" s="4"/>
    </row>
    <row r="403" spans="1:11" ht="12.75">
      <c r="A403" s="4"/>
      <c r="B403" s="4"/>
      <c r="C403" s="4"/>
      <c r="D403" s="4"/>
      <c r="E403" s="4"/>
      <c r="F403" s="4"/>
      <c r="G403" s="258" t="s">
        <v>438</v>
      </c>
      <c r="H403" s="258" t="s">
        <v>332</v>
      </c>
      <c r="I403" s="274" t="s">
        <v>1099</v>
      </c>
      <c r="J403" s="257"/>
      <c r="K403" s="4"/>
    </row>
    <row r="404" spans="1:11" ht="12.75">
      <c r="A404" s="4"/>
      <c r="B404" s="4"/>
      <c r="C404" s="4"/>
      <c r="D404" s="4"/>
      <c r="E404" s="4"/>
      <c r="F404" s="4"/>
      <c r="G404" s="258" t="s">
        <v>439</v>
      </c>
      <c r="H404" s="258" t="s">
        <v>328</v>
      </c>
      <c r="I404" s="274" t="s">
        <v>1100</v>
      </c>
      <c r="J404" s="257"/>
      <c r="K404" s="4"/>
    </row>
    <row r="405" spans="1:11" ht="12.75">
      <c r="A405" s="4"/>
      <c r="B405" s="4"/>
      <c r="C405" s="4"/>
      <c r="D405" s="4"/>
      <c r="E405" s="4"/>
      <c r="F405" s="4"/>
      <c r="G405" s="258" t="s">
        <v>273</v>
      </c>
      <c r="H405" s="258" t="s">
        <v>329</v>
      </c>
      <c r="I405" s="274" t="s">
        <v>1101</v>
      </c>
      <c r="J405" s="257"/>
      <c r="K405" s="4"/>
    </row>
    <row r="406" spans="1:11" ht="12.75">
      <c r="A406" s="4"/>
      <c r="B406" s="4"/>
      <c r="C406" s="4"/>
      <c r="D406" s="4"/>
      <c r="E406" s="4"/>
      <c r="F406" s="4"/>
      <c r="G406" s="258" t="s">
        <v>1102</v>
      </c>
      <c r="H406" s="258" t="s">
        <v>352</v>
      </c>
      <c r="I406" s="274" t="s">
        <v>1103</v>
      </c>
      <c r="J406" s="257"/>
      <c r="K406" s="4"/>
    </row>
    <row r="407" spans="1:11" ht="12.75">
      <c r="A407" s="4"/>
      <c r="B407" s="4"/>
      <c r="C407" s="4"/>
      <c r="D407" s="4"/>
      <c r="E407" s="4"/>
      <c r="F407" s="4"/>
      <c r="G407" s="258" t="s">
        <v>1457</v>
      </c>
      <c r="H407" s="258" t="s">
        <v>376</v>
      </c>
      <c r="I407" s="274" t="s">
        <v>1458</v>
      </c>
      <c r="J407" s="257"/>
      <c r="K407" s="4"/>
    </row>
    <row r="408" spans="1:11" ht="12.75">
      <c r="A408" s="4"/>
      <c r="B408" s="4"/>
      <c r="C408" s="4"/>
      <c r="D408" s="4"/>
      <c r="E408" s="4"/>
      <c r="F408" s="4"/>
      <c r="G408" s="258" t="s">
        <v>274</v>
      </c>
      <c r="H408" s="258" t="s">
        <v>400</v>
      </c>
      <c r="I408" s="274" t="s">
        <v>1104</v>
      </c>
      <c r="J408" s="257"/>
      <c r="K408" s="4"/>
    </row>
    <row r="409" spans="1:11" ht="12.75">
      <c r="A409" s="4"/>
      <c r="B409" s="4"/>
      <c r="C409" s="4"/>
      <c r="D409" s="4"/>
      <c r="E409" s="4"/>
      <c r="F409" s="4"/>
      <c r="G409" s="258" t="s">
        <v>1459</v>
      </c>
      <c r="H409" s="258" t="s">
        <v>343</v>
      </c>
      <c r="I409" s="274" t="s">
        <v>1460</v>
      </c>
      <c r="J409" s="257"/>
      <c r="K409" s="4"/>
    </row>
    <row r="410" spans="1:11" ht="12.75">
      <c r="A410" s="4"/>
      <c r="B410" s="4"/>
      <c r="C410" s="4"/>
      <c r="D410" s="4"/>
      <c r="E410" s="4"/>
      <c r="F410" s="4"/>
      <c r="G410" s="258" t="s">
        <v>1105</v>
      </c>
      <c r="H410" s="258" t="s">
        <v>339</v>
      </c>
      <c r="I410" s="274" t="s">
        <v>1106</v>
      </c>
      <c r="J410" s="257"/>
      <c r="K410" s="4"/>
    </row>
    <row r="411" spans="1:11" ht="12.75">
      <c r="A411" s="4"/>
      <c r="B411" s="4"/>
      <c r="C411" s="4"/>
      <c r="D411" s="4"/>
      <c r="E411" s="4"/>
      <c r="F411" s="4"/>
      <c r="G411" s="258" t="s">
        <v>275</v>
      </c>
      <c r="H411" s="258" t="s">
        <v>329</v>
      </c>
      <c r="I411" s="274" t="s">
        <v>1107</v>
      </c>
      <c r="J411" s="257"/>
      <c r="K411" s="4"/>
    </row>
    <row r="412" spans="1:11" ht="12.75">
      <c r="A412" s="4"/>
      <c r="B412" s="4"/>
      <c r="C412" s="4"/>
      <c r="D412" s="4"/>
      <c r="E412" s="4"/>
      <c r="F412" s="4"/>
      <c r="G412" s="258" t="s">
        <v>440</v>
      </c>
      <c r="H412" s="258" t="s">
        <v>339</v>
      </c>
      <c r="I412" s="274" t="s">
        <v>1108</v>
      </c>
      <c r="J412" s="257"/>
      <c r="K412" s="4"/>
    </row>
    <row r="413" spans="1:11" ht="12.75">
      <c r="A413" s="4"/>
      <c r="B413" s="4"/>
      <c r="C413" s="4"/>
      <c r="D413" s="4"/>
      <c r="E413" s="4"/>
      <c r="F413" s="4"/>
      <c r="G413" s="258" t="s">
        <v>638</v>
      </c>
      <c r="H413" s="258" t="s">
        <v>340</v>
      </c>
      <c r="I413" s="274" t="s">
        <v>1109</v>
      </c>
      <c r="J413" s="257"/>
      <c r="K413" s="4"/>
    </row>
    <row r="414" spans="1:11" ht="12.75">
      <c r="A414" s="4"/>
      <c r="B414" s="4"/>
      <c r="C414" s="4"/>
      <c r="D414" s="4"/>
      <c r="E414" s="4"/>
      <c r="F414" s="4"/>
      <c r="G414" s="258" t="s">
        <v>1461</v>
      </c>
      <c r="H414" s="258" t="s">
        <v>343</v>
      </c>
      <c r="I414" s="274" t="s">
        <v>1462</v>
      </c>
      <c r="J414" s="257"/>
      <c r="K414" s="4"/>
    </row>
    <row r="415" spans="1:11" ht="12.75">
      <c r="A415" s="4"/>
      <c r="B415" s="4"/>
      <c r="C415" s="4"/>
      <c r="D415" s="4"/>
      <c r="E415" s="4"/>
      <c r="F415" s="4"/>
      <c r="G415" s="258" t="s">
        <v>441</v>
      </c>
      <c r="H415" s="258" t="s">
        <v>327</v>
      </c>
      <c r="I415" s="274" t="s">
        <v>1110</v>
      </c>
      <c r="J415" s="257"/>
      <c r="K415" s="4"/>
    </row>
    <row r="416" spans="1:11" ht="12.75">
      <c r="A416" s="4"/>
      <c r="B416" s="4"/>
      <c r="C416" s="4"/>
      <c r="D416" s="4"/>
      <c r="E416" s="4"/>
      <c r="F416" s="4"/>
      <c r="G416" s="258" t="s">
        <v>276</v>
      </c>
      <c r="H416" s="258" t="s">
        <v>328</v>
      </c>
      <c r="I416" s="274" t="s">
        <v>1111</v>
      </c>
      <c r="J416" s="257"/>
      <c r="K416" s="4"/>
    </row>
    <row r="417" spans="1:11" ht="12.75">
      <c r="A417" s="4"/>
      <c r="B417" s="4"/>
      <c r="C417" s="4"/>
      <c r="D417" s="4"/>
      <c r="E417" s="4"/>
      <c r="F417" s="4"/>
      <c r="G417" s="258" t="s">
        <v>277</v>
      </c>
      <c r="H417" s="258" t="s">
        <v>328</v>
      </c>
      <c r="I417" s="274" t="s">
        <v>1112</v>
      </c>
      <c r="J417" s="257"/>
      <c r="K417" s="4"/>
    </row>
    <row r="418" spans="1:11" ht="12.75">
      <c r="A418" s="4"/>
      <c r="B418" s="4"/>
      <c r="C418" s="4"/>
      <c r="D418" s="4"/>
      <c r="E418" s="4"/>
      <c r="F418" s="4"/>
      <c r="G418" s="258" t="s">
        <v>442</v>
      </c>
      <c r="H418" s="258" t="s">
        <v>330</v>
      </c>
      <c r="I418" s="274" t="s">
        <v>1113</v>
      </c>
      <c r="J418" s="257"/>
      <c r="K418" s="4"/>
    </row>
    <row r="419" spans="1:11" ht="12.75">
      <c r="A419" s="4"/>
      <c r="B419" s="4"/>
      <c r="C419" s="4"/>
      <c r="D419" s="4"/>
      <c r="E419" s="4"/>
      <c r="F419" s="4"/>
      <c r="G419" s="258" t="s">
        <v>278</v>
      </c>
      <c r="H419" s="258" t="s">
        <v>349</v>
      </c>
      <c r="I419" s="274" t="s">
        <v>1114</v>
      </c>
      <c r="J419" s="257"/>
      <c r="K419" s="4"/>
    </row>
    <row r="420" spans="1:11" ht="12.75">
      <c r="A420" s="4"/>
      <c r="B420" s="4"/>
      <c r="C420" s="4"/>
      <c r="D420" s="4"/>
      <c r="E420" s="4"/>
      <c r="F420" s="4"/>
      <c r="G420" s="258" t="s">
        <v>443</v>
      </c>
      <c r="H420" s="258" t="s">
        <v>331</v>
      </c>
      <c r="I420" s="274" t="s">
        <v>1115</v>
      </c>
      <c r="J420" s="257"/>
      <c r="K420" s="4"/>
    </row>
    <row r="421" spans="1:11" ht="12.75">
      <c r="A421" s="4"/>
      <c r="B421" s="4"/>
      <c r="C421" s="4"/>
      <c r="D421" s="4"/>
      <c r="E421" s="4"/>
      <c r="F421" s="4"/>
      <c r="G421" s="258" t="s">
        <v>444</v>
      </c>
      <c r="H421" s="258" t="s">
        <v>368</v>
      </c>
      <c r="I421" s="274" t="s">
        <v>1116</v>
      </c>
      <c r="J421" s="257"/>
      <c r="K421" s="4"/>
    </row>
    <row r="422" spans="1:11" ht="12.75">
      <c r="A422" s="4"/>
      <c r="B422" s="4"/>
      <c r="C422" s="4"/>
      <c r="D422" s="4"/>
      <c r="E422" s="4"/>
      <c r="F422" s="4"/>
      <c r="G422" s="258" t="s">
        <v>1346</v>
      </c>
      <c r="H422" s="258" t="s">
        <v>329</v>
      </c>
      <c r="I422" s="274" t="s">
        <v>1347</v>
      </c>
      <c r="J422" s="257"/>
      <c r="K422" s="4"/>
    </row>
    <row r="423" spans="1:11" ht="12.75">
      <c r="A423" s="4"/>
      <c r="B423" s="4"/>
      <c r="C423" s="4"/>
      <c r="D423" s="4"/>
      <c r="E423" s="4"/>
      <c r="F423" s="4"/>
      <c r="G423" s="258" t="s">
        <v>279</v>
      </c>
      <c r="H423" s="258" t="s">
        <v>339</v>
      </c>
      <c r="I423" s="274" t="s">
        <v>1117</v>
      </c>
      <c r="J423" s="257"/>
      <c r="K423" s="4"/>
    </row>
    <row r="424" spans="1:11" ht="12.75">
      <c r="A424" s="4"/>
      <c r="B424" s="4"/>
      <c r="C424" s="4"/>
      <c r="D424" s="4"/>
      <c r="E424" s="4"/>
      <c r="F424" s="4"/>
      <c r="G424" s="258" t="s">
        <v>1118</v>
      </c>
      <c r="H424" s="258" t="s">
        <v>329</v>
      </c>
      <c r="I424" s="274" t="s">
        <v>1119</v>
      </c>
      <c r="J424" s="257"/>
      <c r="K424" s="4"/>
    </row>
    <row r="425" spans="1:11" ht="12.75">
      <c r="A425" s="4"/>
      <c r="B425" s="4"/>
      <c r="C425" s="4"/>
      <c r="D425" s="4"/>
      <c r="E425" s="4"/>
      <c r="F425" s="4"/>
      <c r="G425" s="258" t="s">
        <v>445</v>
      </c>
      <c r="H425" s="258" t="s">
        <v>329</v>
      </c>
      <c r="I425" s="274" t="s">
        <v>1120</v>
      </c>
      <c r="J425" s="257"/>
      <c r="K425" s="4"/>
    </row>
    <row r="426" spans="1:11" ht="12.75">
      <c r="A426" s="4"/>
      <c r="B426" s="4"/>
      <c r="C426" s="4"/>
      <c r="D426" s="4"/>
      <c r="E426" s="4"/>
      <c r="F426" s="4"/>
      <c r="G426" s="258" t="s">
        <v>446</v>
      </c>
      <c r="H426" s="258" t="s">
        <v>347</v>
      </c>
      <c r="I426" s="274" t="s">
        <v>1121</v>
      </c>
      <c r="J426" s="257"/>
      <c r="K426" s="4"/>
    </row>
    <row r="427" spans="1:11" ht="12.75">
      <c r="A427" s="4"/>
      <c r="B427" s="4"/>
      <c r="C427" s="4"/>
      <c r="D427" s="4"/>
      <c r="E427" s="4"/>
      <c r="F427" s="4"/>
      <c r="G427" s="258" t="s">
        <v>280</v>
      </c>
      <c r="H427" s="258" t="s">
        <v>365</v>
      </c>
      <c r="I427" s="274" t="s">
        <v>1122</v>
      </c>
      <c r="J427" s="257"/>
      <c r="K427" s="4"/>
    </row>
    <row r="428" spans="1:11" ht="12.75">
      <c r="A428" s="4"/>
      <c r="B428" s="4"/>
      <c r="C428" s="4"/>
      <c r="D428" s="4"/>
      <c r="E428" s="4"/>
      <c r="F428" s="4"/>
      <c r="G428" s="258" t="s">
        <v>281</v>
      </c>
      <c r="H428" s="258" t="s">
        <v>352</v>
      </c>
      <c r="I428" s="274" t="s">
        <v>1123</v>
      </c>
      <c r="J428" s="257"/>
      <c r="K428" s="4"/>
    </row>
    <row r="429" spans="1:11" ht="12.75">
      <c r="A429" s="4"/>
      <c r="B429" s="4"/>
      <c r="C429" s="4"/>
      <c r="D429" s="4"/>
      <c r="E429" s="4"/>
      <c r="F429" s="4"/>
      <c r="G429" s="258" t="s">
        <v>447</v>
      </c>
      <c r="H429" s="258" t="s">
        <v>329</v>
      </c>
      <c r="I429" s="274" t="s">
        <v>1124</v>
      </c>
      <c r="J429" s="257"/>
      <c r="K429" s="4"/>
    </row>
    <row r="430" spans="1:11" ht="12.75">
      <c r="A430" s="4"/>
      <c r="B430" s="4"/>
      <c r="C430" s="4"/>
      <c r="D430" s="4"/>
      <c r="E430" s="4"/>
      <c r="F430" s="4"/>
      <c r="G430" s="258" t="s">
        <v>1125</v>
      </c>
      <c r="H430" s="258" t="s">
        <v>327</v>
      </c>
      <c r="I430" s="274" t="s">
        <v>1126</v>
      </c>
      <c r="J430" s="257"/>
      <c r="K430" s="4"/>
    </row>
    <row r="431" spans="1:11" ht="12.75">
      <c r="A431" s="4"/>
      <c r="B431" s="4"/>
      <c r="C431" s="4"/>
      <c r="D431" s="4"/>
      <c r="E431" s="4"/>
      <c r="F431" s="4"/>
      <c r="G431" s="258" t="s">
        <v>1463</v>
      </c>
      <c r="H431" s="258" t="s">
        <v>343</v>
      </c>
      <c r="I431" s="274" t="s">
        <v>1464</v>
      </c>
      <c r="J431" s="257"/>
      <c r="K431" s="4"/>
    </row>
    <row r="432" spans="1:11" ht="12.75">
      <c r="A432" s="4"/>
      <c r="B432" s="4"/>
      <c r="C432" s="4"/>
      <c r="D432" s="4"/>
      <c r="E432" s="4"/>
      <c r="F432" s="4"/>
      <c r="G432" s="258" t="s">
        <v>282</v>
      </c>
      <c r="H432" s="258" t="s">
        <v>352</v>
      </c>
      <c r="I432" s="274" t="s">
        <v>1127</v>
      </c>
      <c r="J432" s="257"/>
      <c r="K432" s="4"/>
    </row>
    <row r="433" spans="1:11" ht="12.75">
      <c r="A433" s="4"/>
      <c r="B433" s="4"/>
      <c r="C433" s="4"/>
      <c r="D433" s="4"/>
      <c r="E433" s="4"/>
      <c r="F433" s="4"/>
      <c r="G433" s="258" t="s">
        <v>448</v>
      </c>
      <c r="H433" s="258" t="s">
        <v>354</v>
      </c>
      <c r="I433" s="274" t="s">
        <v>1128</v>
      </c>
      <c r="J433" s="257"/>
      <c r="K433" s="4"/>
    </row>
    <row r="434" spans="1:11" ht="12.75">
      <c r="A434" s="4"/>
      <c r="B434" s="4"/>
      <c r="C434" s="4"/>
      <c r="D434" s="4"/>
      <c r="E434" s="4"/>
      <c r="F434" s="4"/>
      <c r="G434" s="258" t="s">
        <v>1465</v>
      </c>
      <c r="H434" s="258" t="s">
        <v>340</v>
      </c>
      <c r="I434" s="274" t="s">
        <v>1466</v>
      </c>
      <c r="J434" s="257"/>
      <c r="K434" s="4"/>
    </row>
    <row r="435" spans="1:11" ht="12.75">
      <c r="A435" s="4"/>
      <c r="B435" s="4"/>
      <c r="C435" s="4"/>
      <c r="D435" s="4"/>
      <c r="E435" s="4"/>
      <c r="F435" s="4"/>
      <c r="G435" s="258" t="s">
        <v>1467</v>
      </c>
      <c r="H435" s="258" t="s">
        <v>343</v>
      </c>
      <c r="I435" s="274" t="s">
        <v>1468</v>
      </c>
      <c r="J435" s="257"/>
      <c r="K435" s="4"/>
    </row>
    <row r="436" spans="1:11" ht="12.75">
      <c r="A436" s="4"/>
      <c r="B436" s="4"/>
      <c r="C436" s="4"/>
      <c r="D436" s="4"/>
      <c r="E436" s="4"/>
      <c r="F436" s="4"/>
      <c r="G436" s="258" t="s">
        <v>639</v>
      </c>
      <c r="H436" s="258" t="s">
        <v>327</v>
      </c>
      <c r="I436" s="274" t="s">
        <v>1129</v>
      </c>
      <c r="J436" s="257"/>
      <c r="K436" s="4"/>
    </row>
    <row r="437" spans="1:11" ht="12.75">
      <c r="A437" s="4"/>
      <c r="B437" s="4"/>
      <c r="C437" s="4"/>
      <c r="D437" s="4"/>
      <c r="E437" s="4"/>
      <c r="F437" s="4"/>
      <c r="G437" s="258" t="s">
        <v>283</v>
      </c>
      <c r="H437" s="258" t="s">
        <v>328</v>
      </c>
      <c r="I437" s="274" t="s">
        <v>1130</v>
      </c>
      <c r="J437" s="257"/>
      <c r="K437" s="4"/>
    </row>
    <row r="438" spans="1:11" ht="12.75">
      <c r="A438" s="4"/>
      <c r="B438" s="4"/>
      <c r="C438" s="4"/>
      <c r="D438" s="4"/>
      <c r="E438" s="4"/>
      <c r="F438" s="4"/>
      <c r="G438" s="258" t="s">
        <v>449</v>
      </c>
      <c r="H438" s="258" t="s">
        <v>328</v>
      </c>
      <c r="I438" s="274" t="s">
        <v>1131</v>
      </c>
      <c r="J438" s="257"/>
      <c r="K438" s="4"/>
    </row>
    <row r="439" spans="1:11" ht="12.75">
      <c r="A439" s="4"/>
      <c r="B439" s="4"/>
      <c r="C439" s="4"/>
      <c r="D439" s="4"/>
      <c r="E439" s="4"/>
      <c r="F439" s="4"/>
      <c r="G439" s="258" t="s">
        <v>450</v>
      </c>
      <c r="H439" s="258" t="s">
        <v>347</v>
      </c>
      <c r="I439" s="274" t="s">
        <v>1132</v>
      </c>
      <c r="J439" s="257"/>
      <c r="K439" s="4"/>
    </row>
    <row r="440" spans="1:11" ht="12.75">
      <c r="A440" s="4"/>
      <c r="B440" s="4"/>
      <c r="C440" s="4"/>
      <c r="D440" s="4"/>
      <c r="E440" s="4"/>
      <c r="F440" s="4"/>
      <c r="G440" s="258" t="s">
        <v>1469</v>
      </c>
      <c r="H440" s="258" t="s">
        <v>343</v>
      </c>
      <c r="I440" s="274" t="s">
        <v>1470</v>
      </c>
      <c r="J440" s="257"/>
      <c r="K440" s="4"/>
    </row>
    <row r="441" spans="1:11" ht="12.75">
      <c r="A441" s="4"/>
      <c r="B441" s="4"/>
      <c r="C441" s="4"/>
      <c r="D441" s="4"/>
      <c r="E441" s="4"/>
      <c r="F441" s="4"/>
      <c r="G441" s="258" t="s">
        <v>451</v>
      </c>
      <c r="H441" s="258" t="s">
        <v>329</v>
      </c>
      <c r="I441" s="274" t="s">
        <v>1133</v>
      </c>
      <c r="J441" s="257"/>
      <c r="K441" s="4"/>
    </row>
    <row r="442" spans="1:11" ht="12.75">
      <c r="A442" s="4"/>
      <c r="B442" s="4"/>
      <c r="C442" s="4"/>
      <c r="D442" s="4"/>
      <c r="E442" s="4"/>
      <c r="F442" s="4"/>
      <c r="G442" s="258" t="s">
        <v>1134</v>
      </c>
      <c r="H442" s="258" t="s">
        <v>339</v>
      </c>
      <c r="I442" s="274" t="s">
        <v>1135</v>
      </c>
      <c r="J442" s="257"/>
      <c r="K442" s="4"/>
    </row>
    <row r="443" spans="1:11" ht="12.75">
      <c r="A443" s="4"/>
      <c r="B443" s="4"/>
      <c r="C443" s="4"/>
      <c r="D443" s="4"/>
      <c r="E443" s="4"/>
      <c r="F443" s="4"/>
      <c r="G443" s="258" t="s">
        <v>1471</v>
      </c>
      <c r="H443" s="258" t="s">
        <v>330</v>
      </c>
      <c r="I443" s="274" t="s">
        <v>1472</v>
      </c>
      <c r="J443" s="257"/>
      <c r="K443" s="4"/>
    </row>
    <row r="444" spans="1:11" ht="12.75">
      <c r="A444" s="4"/>
      <c r="B444" s="4"/>
      <c r="C444" s="4"/>
      <c r="D444" s="4"/>
      <c r="E444" s="4"/>
      <c r="F444" s="4"/>
      <c r="G444" s="258" t="s">
        <v>452</v>
      </c>
      <c r="H444" s="258" t="s">
        <v>330</v>
      </c>
      <c r="I444" s="274" t="s">
        <v>1136</v>
      </c>
      <c r="J444" s="257"/>
      <c r="K444" s="4"/>
    </row>
    <row r="445" spans="1:11" ht="12.75">
      <c r="A445" s="4"/>
      <c r="B445" s="4"/>
      <c r="C445" s="4"/>
      <c r="D445" s="4"/>
      <c r="E445" s="4"/>
      <c r="F445" s="4"/>
      <c r="G445" s="258" t="s">
        <v>1137</v>
      </c>
      <c r="H445" s="258" t="s">
        <v>329</v>
      </c>
      <c r="I445" s="274" t="s">
        <v>1138</v>
      </c>
      <c r="J445" s="257"/>
      <c r="K445" s="4"/>
    </row>
    <row r="446" spans="1:11" ht="12.75">
      <c r="A446" s="4"/>
      <c r="B446" s="4"/>
      <c r="C446" s="4"/>
      <c r="D446" s="4"/>
      <c r="E446" s="4"/>
      <c r="F446" s="4"/>
      <c r="G446" s="258" t="s">
        <v>1139</v>
      </c>
      <c r="H446" s="258" t="s">
        <v>331</v>
      </c>
      <c r="I446" s="274" t="s">
        <v>1140</v>
      </c>
      <c r="J446" s="257"/>
      <c r="K446" s="4"/>
    </row>
    <row r="447" spans="1:11" ht="12.75">
      <c r="A447" s="4"/>
      <c r="B447" s="4"/>
      <c r="C447" s="4"/>
      <c r="D447" s="4"/>
      <c r="E447" s="4"/>
      <c r="F447" s="4"/>
      <c r="G447" s="258" t="s">
        <v>284</v>
      </c>
      <c r="H447" s="258" t="s">
        <v>328</v>
      </c>
      <c r="I447" s="274" t="s">
        <v>1141</v>
      </c>
      <c r="J447" s="257"/>
      <c r="K447" s="4"/>
    </row>
    <row r="448" spans="1:11" ht="12.75">
      <c r="A448" s="4"/>
      <c r="B448" s="4"/>
      <c r="C448" s="4"/>
      <c r="D448" s="4"/>
      <c r="E448" s="4"/>
      <c r="F448" s="4"/>
      <c r="G448" s="258" t="s">
        <v>1473</v>
      </c>
      <c r="H448" s="258" t="s">
        <v>349</v>
      </c>
      <c r="I448" s="274" t="s">
        <v>1474</v>
      </c>
      <c r="J448" s="257"/>
      <c r="K448" s="4"/>
    </row>
    <row r="449" spans="1:11" ht="12.75">
      <c r="A449" s="4"/>
      <c r="B449" s="4"/>
      <c r="C449" s="4"/>
      <c r="D449" s="4"/>
      <c r="E449" s="4"/>
      <c r="F449" s="4"/>
      <c r="G449" s="258" t="s">
        <v>285</v>
      </c>
      <c r="H449" s="258" t="s">
        <v>349</v>
      </c>
      <c r="I449" s="274" t="s">
        <v>1142</v>
      </c>
      <c r="J449" s="257"/>
      <c r="K449" s="4"/>
    </row>
    <row r="450" spans="1:11" ht="12.75">
      <c r="A450" s="4"/>
      <c r="B450" s="4"/>
      <c r="C450" s="4"/>
      <c r="D450" s="4"/>
      <c r="E450" s="4"/>
      <c r="F450" s="4"/>
      <c r="G450" s="258" t="s">
        <v>453</v>
      </c>
      <c r="H450" s="258" t="s">
        <v>367</v>
      </c>
      <c r="I450" s="274" t="s">
        <v>1143</v>
      </c>
      <c r="J450" s="257"/>
      <c r="K450" s="4"/>
    </row>
    <row r="451" spans="1:11" ht="12.75">
      <c r="A451" s="4"/>
      <c r="B451" s="4"/>
      <c r="C451" s="4"/>
      <c r="D451" s="4"/>
      <c r="E451" s="4"/>
      <c r="F451" s="4"/>
      <c r="G451" s="258" t="s">
        <v>454</v>
      </c>
      <c r="H451" s="258" t="s">
        <v>339</v>
      </c>
      <c r="I451" s="274" t="s">
        <v>1144</v>
      </c>
      <c r="J451" s="257"/>
      <c r="K451" s="4"/>
    </row>
    <row r="452" spans="1:11" ht="12.75">
      <c r="A452" s="4"/>
      <c r="B452" s="4"/>
      <c r="C452" s="4"/>
      <c r="D452" s="4"/>
      <c r="E452" s="4"/>
      <c r="F452" s="4"/>
      <c r="G452" s="258" t="s">
        <v>1475</v>
      </c>
      <c r="H452" s="258" t="s">
        <v>330</v>
      </c>
      <c r="I452" s="274" t="s">
        <v>1476</v>
      </c>
      <c r="J452" s="257"/>
      <c r="K452" s="4"/>
    </row>
    <row r="453" spans="1:11" ht="12.75">
      <c r="A453" s="4"/>
      <c r="B453" s="4"/>
      <c r="C453" s="4"/>
      <c r="D453" s="4"/>
      <c r="E453" s="4"/>
      <c r="F453" s="4"/>
      <c r="G453" s="258" t="s">
        <v>455</v>
      </c>
      <c r="H453" s="258" t="s">
        <v>354</v>
      </c>
      <c r="I453" s="274" t="s">
        <v>1145</v>
      </c>
      <c r="J453" s="257"/>
      <c r="K453" s="4"/>
    </row>
    <row r="454" spans="1:11" ht="12.75">
      <c r="A454" s="4"/>
      <c r="B454" s="4"/>
      <c r="C454" s="4"/>
      <c r="D454" s="4"/>
      <c r="E454" s="4"/>
      <c r="F454" s="4"/>
      <c r="G454" s="258" t="s">
        <v>286</v>
      </c>
      <c r="H454" s="258" t="s">
        <v>354</v>
      </c>
      <c r="I454" s="274" t="s">
        <v>1146</v>
      </c>
      <c r="J454" s="257"/>
      <c r="K454" s="4"/>
    </row>
    <row r="455" spans="1:11" ht="12.75">
      <c r="A455" s="4"/>
      <c r="B455" s="4"/>
      <c r="C455" s="4"/>
      <c r="D455" s="4"/>
      <c r="E455" s="4"/>
      <c r="F455" s="4"/>
      <c r="G455" s="258" t="s">
        <v>1147</v>
      </c>
      <c r="H455" s="258" t="s">
        <v>354</v>
      </c>
      <c r="I455" s="274" t="s">
        <v>1148</v>
      </c>
      <c r="J455" s="257"/>
      <c r="K455" s="4"/>
    </row>
    <row r="456" spans="1:11" ht="12.75">
      <c r="A456" s="4"/>
      <c r="B456" s="4"/>
      <c r="C456" s="4"/>
      <c r="D456" s="4"/>
      <c r="E456" s="4"/>
      <c r="F456" s="4"/>
      <c r="G456" s="258" t="s">
        <v>1149</v>
      </c>
      <c r="H456" s="258" t="s">
        <v>327</v>
      </c>
      <c r="I456" s="274" t="s">
        <v>1150</v>
      </c>
      <c r="J456" s="257"/>
      <c r="K456" s="4"/>
    </row>
    <row r="457" spans="1:11" ht="12.75">
      <c r="A457" s="4"/>
      <c r="B457" s="4"/>
      <c r="C457" s="4"/>
      <c r="D457" s="4"/>
      <c r="E457" s="4"/>
      <c r="F457" s="4"/>
      <c r="G457" s="258" t="s">
        <v>1151</v>
      </c>
      <c r="H457" s="258" t="s">
        <v>338</v>
      </c>
      <c r="I457" s="274" t="s">
        <v>1152</v>
      </c>
      <c r="J457" s="257"/>
      <c r="K457" s="4"/>
    </row>
    <row r="458" spans="1:11" ht="12.75">
      <c r="A458" s="4"/>
      <c r="B458" s="4"/>
      <c r="C458" s="4"/>
      <c r="D458" s="4"/>
      <c r="E458" s="4"/>
      <c r="F458" s="4"/>
      <c r="G458" s="258" t="s">
        <v>287</v>
      </c>
      <c r="H458" s="258" t="s">
        <v>331</v>
      </c>
      <c r="I458" s="274" t="s">
        <v>1153</v>
      </c>
      <c r="J458" s="257"/>
      <c r="K458" s="4"/>
    </row>
    <row r="459" spans="1:11" ht="12.75">
      <c r="A459" s="4"/>
      <c r="B459" s="4"/>
      <c r="C459" s="4"/>
      <c r="D459" s="4"/>
      <c r="E459" s="4"/>
      <c r="F459" s="4"/>
      <c r="G459" s="258" t="s">
        <v>640</v>
      </c>
      <c r="H459" s="258" t="s">
        <v>376</v>
      </c>
      <c r="I459" s="274" t="s">
        <v>1154</v>
      </c>
      <c r="J459" s="257"/>
      <c r="K459" s="4"/>
    </row>
    <row r="460" spans="1:11" ht="12.75">
      <c r="A460" s="4"/>
      <c r="B460" s="4"/>
      <c r="C460" s="4"/>
      <c r="D460" s="4"/>
      <c r="E460" s="4"/>
      <c r="F460" s="4"/>
      <c r="G460" s="258" t="s">
        <v>1155</v>
      </c>
      <c r="H460" s="258" t="s">
        <v>338</v>
      </c>
      <c r="I460" s="274" t="s">
        <v>1156</v>
      </c>
      <c r="J460" s="257"/>
      <c r="K460" s="4"/>
    </row>
    <row r="461" spans="1:11" ht="12.75">
      <c r="A461" s="4"/>
      <c r="B461" s="4"/>
      <c r="C461" s="4"/>
      <c r="D461" s="4"/>
      <c r="E461" s="4"/>
      <c r="F461" s="4"/>
      <c r="G461" s="258" t="s">
        <v>288</v>
      </c>
      <c r="H461" s="258" t="s">
        <v>400</v>
      </c>
      <c r="I461" s="274" t="s">
        <v>1157</v>
      </c>
      <c r="J461" s="257"/>
      <c r="K461" s="4"/>
    </row>
    <row r="462" spans="1:11" ht="12.75">
      <c r="A462" s="4"/>
      <c r="B462" s="4"/>
      <c r="C462" s="4"/>
      <c r="D462" s="4"/>
      <c r="E462" s="4"/>
      <c r="F462" s="4"/>
      <c r="G462" s="258" t="s">
        <v>456</v>
      </c>
      <c r="H462" s="258" t="s">
        <v>330</v>
      </c>
      <c r="I462" s="274" t="s">
        <v>1158</v>
      </c>
      <c r="J462" s="257"/>
      <c r="K462" s="4"/>
    </row>
    <row r="463" spans="1:11" ht="12.75">
      <c r="A463" s="4"/>
      <c r="B463" s="4"/>
      <c r="C463" s="4"/>
      <c r="D463" s="4"/>
      <c r="E463" s="4"/>
      <c r="F463" s="4"/>
      <c r="G463" s="258" t="s">
        <v>1159</v>
      </c>
      <c r="H463" s="258" t="s">
        <v>343</v>
      </c>
      <c r="I463" s="274" t="s">
        <v>1160</v>
      </c>
      <c r="J463" s="257"/>
      <c r="K463" s="4"/>
    </row>
    <row r="464" spans="1:11" ht="12.75">
      <c r="A464" s="4"/>
      <c r="B464" s="4"/>
      <c r="C464" s="4"/>
      <c r="D464" s="4"/>
      <c r="E464" s="4"/>
      <c r="F464" s="4"/>
      <c r="G464" s="258" t="s">
        <v>564</v>
      </c>
      <c r="H464" s="258" t="s">
        <v>339</v>
      </c>
      <c r="I464" s="274" t="s">
        <v>1161</v>
      </c>
      <c r="J464" s="257"/>
      <c r="K464" s="4"/>
    </row>
    <row r="465" spans="1:11" ht="12.75">
      <c r="A465" s="4"/>
      <c r="B465" s="4"/>
      <c r="C465" s="4"/>
      <c r="D465" s="4"/>
      <c r="E465" s="4"/>
      <c r="F465" s="4"/>
      <c r="G465" s="258" t="s">
        <v>289</v>
      </c>
      <c r="H465" s="258" t="s">
        <v>331</v>
      </c>
      <c r="I465" s="274" t="s">
        <v>1162</v>
      </c>
      <c r="J465" s="257"/>
      <c r="K465" s="4"/>
    </row>
    <row r="466" spans="1:11" ht="12.75">
      <c r="A466" s="4"/>
      <c r="B466" s="4"/>
      <c r="C466" s="4"/>
      <c r="D466" s="4"/>
      <c r="E466" s="4"/>
      <c r="F466" s="4"/>
      <c r="G466" s="258" t="s">
        <v>1163</v>
      </c>
      <c r="H466" s="258" t="s">
        <v>368</v>
      </c>
      <c r="I466" s="274" t="s">
        <v>1164</v>
      </c>
      <c r="J466" s="257"/>
      <c r="K466" s="4"/>
    </row>
    <row r="467" spans="1:11" ht="12.75">
      <c r="A467" s="4"/>
      <c r="B467" s="4"/>
      <c r="C467" s="4"/>
      <c r="D467" s="4"/>
      <c r="E467" s="4"/>
      <c r="F467" s="4"/>
      <c r="G467" s="258" t="s">
        <v>1165</v>
      </c>
      <c r="H467" s="258" t="s">
        <v>347</v>
      </c>
      <c r="I467" s="274" t="s">
        <v>1166</v>
      </c>
      <c r="J467" s="257"/>
      <c r="K467" s="4"/>
    </row>
    <row r="468" spans="1:11" ht="12.75">
      <c r="A468" s="4"/>
      <c r="B468" s="4"/>
      <c r="C468" s="4"/>
      <c r="D468" s="4"/>
      <c r="E468" s="4"/>
      <c r="F468" s="4"/>
      <c r="G468" s="258" t="s">
        <v>1477</v>
      </c>
      <c r="H468" s="258" t="s">
        <v>330</v>
      </c>
      <c r="I468" s="274" t="s">
        <v>1478</v>
      </c>
      <c r="J468" s="257"/>
      <c r="K468" s="4"/>
    </row>
    <row r="469" spans="1:11" ht="12.75">
      <c r="A469" s="4"/>
      <c r="B469" s="4"/>
      <c r="C469" s="4"/>
      <c r="D469" s="4"/>
      <c r="E469" s="4"/>
      <c r="F469" s="4"/>
      <c r="G469" s="258" t="s">
        <v>1167</v>
      </c>
      <c r="H469" s="258" t="s">
        <v>339</v>
      </c>
      <c r="I469" s="274" t="s">
        <v>1168</v>
      </c>
      <c r="J469" s="257"/>
      <c r="K469" s="4"/>
    </row>
    <row r="470" spans="1:11" ht="12.75">
      <c r="A470" s="4"/>
      <c r="B470" s="4"/>
      <c r="C470" s="4"/>
      <c r="D470" s="4"/>
      <c r="E470" s="4"/>
      <c r="F470" s="4"/>
      <c r="G470" s="258" t="s">
        <v>1479</v>
      </c>
      <c r="H470" s="258" t="s">
        <v>330</v>
      </c>
      <c r="I470" s="274" t="s">
        <v>1480</v>
      </c>
      <c r="J470" s="257"/>
      <c r="K470" s="4"/>
    </row>
    <row r="471" spans="1:11" ht="12.75">
      <c r="A471" s="4"/>
      <c r="B471" s="4"/>
      <c r="C471" s="4"/>
      <c r="D471" s="4"/>
      <c r="E471" s="4"/>
      <c r="F471" s="4"/>
      <c r="G471" s="258" t="s">
        <v>457</v>
      </c>
      <c r="H471" s="258" t="s">
        <v>329</v>
      </c>
      <c r="I471" s="274" t="s">
        <v>1169</v>
      </c>
      <c r="J471" s="257"/>
      <c r="K471" s="4"/>
    </row>
    <row r="472" spans="1:11" ht="12.75">
      <c r="A472" s="4"/>
      <c r="B472" s="4"/>
      <c r="C472" s="4"/>
      <c r="D472" s="4"/>
      <c r="E472" s="4"/>
      <c r="F472" s="4"/>
      <c r="G472" s="258" t="s">
        <v>458</v>
      </c>
      <c r="H472" s="258" t="s">
        <v>332</v>
      </c>
      <c r="I472" s="274" t="s">
        <v>1170</v>
      </c>
      <c r="J472" s="257"/>
      <c r="K472" s="4"/>
    </row>
    <row r="473" spans="1:11" ht="12.75">
      <c r="A473" s="4"/>
      <c r="B473" s="4"/>
      <c r="C473" s="4"/>
      <c r="D473" s="4"/>
      <c r="E473" s="4"/>
      <c r="F473" s="4"/>
      <c r="G473" s="258" t="s">
        <v>459</v>
      </c>
      <c r="H473" s="258" t="s">
        <v>347</v>
      </c>
      <c r="I473" s="274" t="s">
        <v>1171</v>
      </c>
      <c r="J473" s="257"/>
      <c r="K473" s="4"/>
    </row>
    <row r="474" spans="1:11" ht="12.75">
      <c r="A474" s="4"/>
      <c r="B474" s="4"/>
      <c r="C474" s="4"/>
      <c r="D474" s="4"/>
      <c r="E474" s="4"/>
      <c r="F474" s="4"/>
      <c r="G474" s="258" t="s">
        <v>1172</v>
      </c>
      <c r="H474" s="258" t="s">
        <v>329</v>
      </c>
      <c r="I474" s="274" t="s">
        <v>1173</v>
      </c>
      <c r="J474" s="257"/>
      <c r="K474" s="4"/>
    </row>
    <row r="475" spans="1:11" ht="12.75">
      <c r="A475" s="4"/>
      <c r="B475" s="4"/>
      <c r="C475" s="4"/>
      <c r="D475" s="4"/>
      <c r="E475" s="4"/>
      <c r="F475" s="4"/>
      <c r="G475" s="258" t="s">
        <v>460</v>
      </c>
      <c r="H475" s="258" t="s">
        <v>328</v>
      </c>
      <c r="I475" s="274" t="s">
        <v>1174</v>
      </c>
      <c r="J475" s="257"/>
      <c r="K475" s="4"/>
    </row>
    <row r="476" spans="1:11" ht="12.75">
      <c r="A476" s="4"/>
      <c r="B476" s="4"/>
      <c r="C476" s="4"/>
      <c r="D476" s="4"/>
      <c r="E476" s="4"/>
      <c r="F476" s="4"/>
      <c r="G476" s="258" t="s">
        <v>1175</v>
      </c>
      <c r="H476" s="258" t="s">
        <v>354</v>
      </c>
      <c r="I476" s="274" t="s">
        <v>1176</v>
      </c>
      <c r="J476" s="257"/>
      <c r="K476" s="4"/>
    </row>
    <row r="477" spans="1:11" ht="12.75">
      <c r="A477" s="4"/>
      <c r="B477" s="4"/>
      <c r="C477" s="4"/>
      <c r="D477" s="4"/>
      <c r="E477" s="4"/>
      <c r="F477" s="4"/>
      <c r="G477" s="258" t="s">
        <v>641</v>
      </c>
      <c r="H477" s="258" t="s">
        <v>368</v>
      </c>
      <c r="I477" s="274" t="s">
        <v>1177</v>
      </c>
      <c r="J477" s="257"/>
      <c r="K477" s="4"/>
    </row>
    <row r="478" spans="1:11" ht="12.75">
      <c r="A478" s="4"/>
      <c r="B478" s="4"/>
      <c r="C478" s="4"/>
      <c r="D478" s="4"/>
      <c r="E478" s="4"/>
      <c r="F478" s="4"/>
      <c r="G478" s="258" t="s">
        <v>290</v>
      </c>
      <c r="H478" s="258" t="s">
        <v>327</v>
      </c>
      <c r="I478" s="274" t="s">
        <v>1178</v>
      </c>
      <c r="J478" s="257"/>
      <c r="K478" s="4"/>
    </row>
    <row r="479" spans="1:11" ht="12.75">
      <c r="A479" s="4"/>
      <c r="B479" s="4"/>
      <c r="C479" s="4"/>
      <c r="D479" s="4"/>
      <c r="E479" s="4"/>
      <c r="F479" s="4"/>
      <c r="G479" s="258" t="s">
        <v>461</v>
      </c>
      <c r="H479" s="258" t="s">
        <v>339</v>
      </c>
      <c r="I479" s="274" t="s">
        <v>1179</v>
      </c>
      <c r="J479" s="257"/>
      <c r="K479" s="4"/>
    </row>
    <row r="480" spans="1:11" ht="12.75">
      <c r="A480" s="4"/>
      <c r="B480" s="4"/>
      <c r="C480" s="4"/>
      <c r="D480" s="4"/>
      <c r="E480" s="4"/>
      <c r="F480" s="4"/>
      <c r="G480" s="258" t="s">
        <v>1180</v>
      </c>
      <c r="H480" s="258" t="s">
        <v>331</v>
      </c>
      <c r="I480" s="274" t="s">
        <v>1181</v>
      </c>
      <c r="J480" s="257"/>
      <c r="K480" s="4"/>
    </row>
    <row r="481" spans="1:11" ht="12.75">
      <c r="A481" s="4"/>
      <c r="B481" s="4"/>
      <c r="C481" s="4"/>
      <c r="D481" s="4"/>
      <c r="E481" s="4"/>
      <c r="F481" s="4"/>
      <c r="G481" s="258" t="s">
        <v>1182</v>
      </c>
      <c r="H481" s="258" t="s">
        <v>328</v>
      </c>
      <c r="I481" s="274" t="s">
        <v>1183</v>
      </c>
      <c r="J481" s="257"/>
      <c r="K481" s="4"/>
    </row>
    <row r="482" spans="1:11" ht="12.75">
      <c r="A482" s="4"/>
      <c r="B482" s="4"/>
      <c r="C482" s="4"/>
      <c r="D482" s="4"/>
      <c r="E482" s="4"/>
      <c r="F482" s="4"/>
      <c r="G482" s="258" t="s">
        <v>565</v>
      </c>
      <c r="H482" s="258" t="s">
        <v>548</v>
      </c>
      <c r="I482" s="274" t="s">
        <v>1184</v>
      </c>
      <c r="J482" s="257"/>
      <c r="K482" s="4"/>
    </row>
    <row r="483" spans="1:11" ht="12.75">
      <c r="A483" s="4"/>
      <c r="B483" s="4"/>
      <c r="C483" s="4"/>
      <c r="D483" s="4"/>
      <c r="E483" s="4"/>
      <c r="F483" s="4"/>
      <c r="G483" s="258" t="s">
        <v>1185</v>
      </c>
      <c r="H483" s="258" t="s">
        <v>328</v>
      </c>
      <c r="I483" s="274" t="s">
        <v>1186</v>
      </c>
      <c r="J483" s="257"/>
      <c r="K483" s="4"/>
    </row>
    <row r="484" spans="1:11" ht="12.75">
      <c r="A484" s="4"/>
      <c r="B484" s="4"/>
      <c r="C484" s="4"/>
      <c r="D484" s="4"/>
      <c r="E484" s="4"/>
      <c r="F484" s="4"/>
      <c r="G484" s="258" t="s">
        <v>1481</v>
      </c>
      <c r="H484" s="258" t="s">
        <v>343</v>
      </c>
      <c r="I484" s="274" t="s">
        <v>1482</v>
      </c>
      <c r="J484" s="257"/>
      <c r="K484" s="4"/>
    </row>
    <row r="485" spans="1:11" ht="12.75">
      <c r="A485" s="4"/>
      <c r="B485" s="4"/>
      <c r="C485" s="4"/>
      <c r="D485" s="4"/>
      <c r="E485" s="4"/>
      <c r="F485" s="4"/>
      <c r="G485" s="258" t="s">
        <v>642</v>
      </c>
      <c r="H485" s="258" t="s">
        <v>548</v>
      </c>
      <c r="I485" s="274" t="s">
        <v>1187</v>
      </c>
      <c r="J485" s="257"/>
      <c r="K485" s="4"/>
    </row>
    <row r="486" spans="1:11" ht="12.75">
      <c r="A486" s="4"/>
      <c r="B486" s="4"/>
      <c r="C486" s="4"/>
      <c r="D486" s="4"/>
      <c r="E486" s="4"/>
      <c r="F486" s="4"/>
      <c r="G486" s="258" t="s">
        <v>291</v>
      </c>
      <c r="H486" s="258" t="s">
        <v>548</v>
      </c>
      <c r="I486" s="274" t="s">
        <v>1188</v>
      </c>
      <c r="J486" s="257"/>
      <c r="K486" s="4"/>
    </row>
    <row r="487" spans="1:11" ht="12.75">
      <c r="A487" s="4"/>
      <c r="B487" s="4"/>
      <c r="C487" s="4"/>
      <c r="D487" s="4"/>
      <c r="E487" s="4"/>
      <c r="F487" s="4"/>
      <c r="G487" s="258" t="s">
        <v>292</v>
      </c>
      <c r="H487" s="258" t="s">
        <v>330</v>
      </c>
      <c r="I487" s="274" t="s">
        <v>1189</v>
      </c>
      <c r="J487" s="257"/>
      <c r="K487" s="4"/>
    </row>
    <row r="488" spans="1:11" ht="12.75">
      <c r="A488" s="4"/>
      <c r="B488" s="4"/>
      <c r="C488" s="4"/>
      <c r="D488" s="4"/>
      <c r="E488" s="4"/>
      <c r="F488" s="4"/>
      <c r="G488" s="258" t="s">
        <v>293</v>
      </c>
      <c r="H488" s="258" t="s">
        <v>329</v>
      </c>
      <c r="I488" s="274" t="s">
        <v>1190</v>
      </c>
      <c r="J488" s="257"/>
      <c r="K488" s="4"/>
    </row>
    <row r="489" spans="1:11" ht="12.75">
      <c r="A489" s="4"/>
      <c r="B489" s="4"/>
      <c r="C489" s="4"/>
      <c r="D489" s="4"/>
      <c r="E489" s="4"/>
      <c r="F489" s="4"/>
      <c r="G489" s="258" t="s">
        <v>462</v>
      </c>
      <c r="H489" s="258" t="s">
        <v>354</v>
      </c>
      <c r="I489" s="274" t="s">
        <v>1191</v>
      </c>
      <c r="J489" s="257"/>
      <c r="K489" s="4"/>
    </row>
    <row r="490" spans="1:11" ht="12.75">
      <c r="A490" s="4"/>
      <c r="B490" s="4"/>
      <c r="C490" s="4"/>
      <c r="D490" s="4"/>
      <c r="E490" s="4"/>
      <c r="F490" s="4"/>
      <c r="G490" s="258" t="s">
        <v>566</v>
      </c>
      <c r="H490" s="258" t="s">
        <v>548</v>
      </c>
      <c r="I490" s="274" t="s">
        <v>1192</v>
      </c>
      <c r="J490" s="257"/>
      <c r="K490" s="4"/>
    </row>
    <row r="491" spans="1:11" ht="12.75">
      <c r="A491" s="4"/>
      <c r="B491" s="4"/>
      <c r="C491" s="4"/>
      <c r="D491" s="4"/>
      <c r="E491" s="4"/>
      <c r="F491" s="4"/>
      <c r="G491" s="258" t="s">
        <v>1193</v>
      </c>
      <c r="H491" s="258" t="s">
        <v>334</v>
      </c>
      <c r="I491" s="274" t="s">
        <v>1194</v>
      </c>
      <c r="J491" s="257"/>
      <c r="K491" s="4"/>
    </row>
    <row r="492" spans="1:11" ht="12.75">
      <c r="A492" s="4"/>
      <c r="B492" s="4"/>
      <c r="C492" s="4"/>
      <c r="D492" s="4"/>
      <c r="E492" s="4"/>
      <c r="F492" s="4"/>
      <c r="G492" s="258" t="s">
        <v>294</v>
      </c>
      <c r="H492" s="258" t="s">
        <v>376</v>
      </c>
      <c r="I492" s="274" t="s">
        <v>1195</v>
      </c>
      <c r="J492" s="257"/>
      <c r="K492" s="4"/>
    </row>
    <row r="493" spans="1:11" ht="12.75">
      <c r="A493" s="4"/>
      <c r="B493" s="4"/>
      <c r="C493" s="4"/>
      <c r="D493" s="4"/>
      <c r="E493" s="4"/>
      <c r="F493" s="4"/>
      <c r="G493" s="258" t="s">
        <v>1196</v>
      </c>
      <c r="H493" s="258" t="s">
        <v>354</v>
      </c>
      <c r="I493" s="274" t="s">
        <v>1197</v>
      </c>
      <c r="J493" s="257"/>
      <c r="K493" s="4"/>
    </row>
    <row r="494" spans="1:11" ht="12.75">
      <c r="A494" s="4"/>
      <c r="B494" s="4"/>
      <c r="C494" s="4"/>
      <c r="D494" s="4"/>
      <c r="E494" s="4"/>
      <c r="F494" s="4"/>
      <c r="G494" s="258" t="s">
        <v>463</v>
      </c>
      <c r="H494" s="258" t="s">
        <v>400</v>
      </c>
      <c r="I494" s="274" t="s">
        <v>1198</v>
      </c>
      <c r="J494" s="257"/>
      <c r="K494" s="4"/>
    </row>
    <row r="495" spans="1:11" ht="12.75">
      <c r="A495" s="4"/>
      <c r="B495" s="4"/>
      <c r="C495" s="4"/>
      <c r="D495" s="4"/>
      <c r="E495" s="4"/>
      <c r="F495" s="4"/>
      <c r="G495" s="258" t="s">
        <v>1199</v>
      </c>
      <c r="H495" s="258" t="s">
        <v>338</v>
      </c>
      <c r="I495" s="274" t="s">
        <v>1200</v>
      </c>
      <c r="J495" s="257"/>
      <c r="K495" s="4"/>
    </row>
    <row r="496" spans="1:11" ht="12.75">
      <c r="A496" s="4"/>
      <c r="B496" s="4"/>
      <c r="C496" s="4"/>
      <c r="D496" s="4"/>
      <c r="E496" s="4"/>
      <c r="F496" s="4"/>
      <c r="G496" s="258" t="s">
        <v>1201</v>
      </c>
      <c r="H496" s="258" t="s">
        <v>329</v>
      </c>
      <c r="I496" s="274" t="s">
        <v>1202</v>
      </c>
      <c r="J496" s="257"/>
      <c r="K496" s="4"/>
    </row>
    <row r="497" spans="7:9" ht="12.75">
      <c r="G497" s="258" t="s">
        <v>464</v>
      </c>
      <c r="H497" s="258" t="s">
        <v>332</v>
      </c>
      <c r="I497" s="274" t="s">
        <v>1203</v>
      </c>
    </row>
    <row r="498" spans="7:9" ht="12.75">
      <c r="G498" s="258" t="s">
        <v>295</v>
      </c>
      <c r="H498" s="258" t="s">
        <v>327</v>
      </c>
      <c r="I498" s="274" t="s">
        <v>1204</v>
      </c>
    </row>
    <row r="499" spans="7:9" ht="12.75">
      <c r="G499" s="258" t="s">
        <v>1205</v>
      </c>
      <c r="H499" s="258" t="s">
        <v>548</v>
      </c>
      <c r="I499" s="274" t="s">
        <v>1206</v>
      </c>
    </row>
    <row r="500" spans="7:9" ht="12.75">
      <c r="G500" s="258" t="s">
        <v>1207</v>
      </c>
      <c r="H500" s="258" t="s">
        <v>338</v>
      </c>
      <c r="I500" s="274" t="s">
        <v>1208</v>
      </c>
    </row>
    <row r="501" spans="7:9" ht="12.75">
      <c r="G501" s="258" t="s">
        <v>296</v>
      </c>
      <c r="H501" s="258" t="s">
        <v>331</v>
      </c>
      <c r="I501" s="274" t="s">
        <v>1209</v>
      </c>
    </row>
    <row r="502" spans="7:9" ht="12.75">
      <c r="G502" s="258" t="s">
        <v>465</v>
      </c>
      <c r="H502" s="258" t="s">
        <v>327</v>
      </c>
      <c r="I502" s="274" t="s">
        <v>1210</v>
      </c>
    </row>
    <row r="503" spans="7:9" ht="12.75">
      <c r="G503" s="258" t="s">
        <v>1483</v>
      </c>
      <c r="H503" s="258" t="s">
        <v>365</v>
      </c>
      <c r="I503" s="274" t="s">
        <v>1484</v>
      </c>
    </row>
    <row r="504" spans="7:9" ht="12.75">
      <c r="G504" s="258" t="s">
        <v>297</v>
      </c>
      <c r="H504" s="258" t="s">
        <v>332</v>
      </c>
      <c r="I504" s="274" t="s">
        <v>1211</v>
      </c>
    </row>
    <row r="505" spans="7:9" ht="12.75">
      <c r="G505" s="258" t="s">
        <v>1212</v>
      </c>
      <c r="H505" s="258" t="s">
        <v>376</v>
      </c>
      <c r="I505" s="274" t="s">
        <v>1213</v>
      </c>
    </row>
    <row r="506" spans="7:9" ht="12.75">
      <c r="G506" s="258" t="s">
        <v>298</v>
      </c>
      <c r="H506" s="258" t="s">
        <v>338</v>
      </c>
      <c r="I506" s="274" t="s">
        <v>1214</v>
      </c>
    </row>
    <row r="507" spans="7:9" ht="12.75">
      <c r="G507" s="258" t="s">
        <v>466</v>
      </c>
      <c r="H507" s="258" t="s">
        <v>330</v>
      </c>
      <c r="I507" s="274" t="s">
        <v>1215</v>
      </c>
    </row>
    <row r="508" spans="7:9" ht="12.75">
      <c r="G508" s="258" t="s">
        <v>299</v>
      </c>
      <c r="H508" s="258" t="s">
        <v>339</v>
      </c>
      <c r="I508" s="274" t="s">
        <v>1216</v>
      </c>
    </row>
    <row r="509" spans="7:9" ht="12.75">
      <c r="G509" s="258" t="s">
        <v>643</v>
      </c>
      <c r="H509" s="258" t="s">
        <v>354</v>
      </c>
      <c r="I509" s="274" t="s">
        <v>1217</v>
      </c>
    </row>
    <row r="510" spans="7:9" ht="12.75">
      <c r="G510" s="258" t="s">
        <v>1485</v>
      </c>
      <c r="H510" s="258" t="s">
        <v>340</v>
      </c>
      <c r="I510" s="274" t="s">
        <v>1486</v>
      </c>
    </row>
    <row r="511" spans="7:9" ht="12.75">
      <c r="G511" s="258" t="s">
        <v>467</v>
      </c>
      <c r="H511" s="258" t="s">
        <v>341</v>
      </c>
      <c r="I511" s="274" t="s">
        <v>1218</v>
      </c>
    </row>
    <row r="512" spans="7:9" ht="12.75">
      <c r="G512" s="258" t="s">
        <v>1219</v>
      </c>
      <c r="H512" s="258" t="s">
        <v>367</v>
      </c>
      <c r="I512" s="274" t="s">
        <v>1220</v>
      </c>
    </row>
    <row r="513" spans="7:9" ht="12.75">
      <c r="G513" s="258" t="s">
        <v>468</v>
      </c>
      <c r="H513" s="258" t="s">
        <v>354</v>
      </c>
      <c r="I513" s="274" t="s">
        <v>1221</v>
      </c>
    </row>
    <row r="514" spans="7:9" ht="12.75">
      <c r="G514" s="258" t="s">
        <v>469</v>
      </c>
      <c r="H514" s="258" t="s">
        <v>329</v>
      </c>
      <c r="I514" s="274" t="s">
        <v>1222</v>
      </c>
    </row>
    <row r="515" spans="7:9" ht="12.75">
      <c r="G515" s="258" t="s">
        <v>1487</v>
      </c>
      <c r="H515" s="258" t="s">
        <v>340</v>
      </c>
      <c r="I515" s="274" t="s">
        <v>1488</v>
      </c>
    </row>
    <row r="516" spans="7:9" ht="12.75">
      <c r="G516" s="258" t="s">
        <v>470</v>
      </c>
      <c r="H516" s="258" t="s">
        <v>327</v>
      </c>
      <c r="I516" s="274" t="s">
        <v>1223</v>
      </c>
    </row>
    <row r="517" spans="7:9" ht="12.75">
      <c r="G517" s="258" t="s">
        <v>471</v>
      </c>
      <c r="H517" s="258" t="s">
        <v>329</v>
      </c>
      <c r="I517" s="274" t="s">
        <v>1224</v>
      </c>
    </row>
    <row r="518" spans="7:9" ht="12.75">
      <c r="G518" s="258" t="s">
        <v>472</v>
      </c>
      <c r="H518" s="258" t="s">
        <v>352</v>
      </c>
      <c r="I518" s="274" t="s">
        <v>1225</v>
      </c>
    </row>
    <row r="519" spans="7:9" ht="12.75">
      <c r="G519" s="258" t="s">
        <v>300</v>
      </c>
      <c r="H519" s="258" t="s">
        <v>327</v>
      </c>
      <c r="I519" s="274" t="s">
        <v>1226</v>
      </c>
    </row>
    <row r="520" spans="7:9" ht="12.75">
      <c r="G520" s="258" t="s">
        <v>1227</v>
      </c>
      <c r="H520" s="258" t="s">
        <v>400</v>
      </c>
      <c r="I520" s="274" t="s">
        <v>1228</v>
      </c>
    </row>
    <row r="521" spans="7:9" ht="12.75">
      <c r="G521" s="258" t="s">
        <v>473</v>
      </c>
      <c r="H521" s="258" t="s">
        <v>339</v>
      </c>
      <c r="I521" s="274" t="s">
        <v>1229</v>
      </c>
    </row>
    <row r="522" spans="7:9" ht="12.75">
      <c r="G522" s="258" t="s">
        <v>567</v>
      </c>
      <c r="H522" s="258" t="s">
        <v>349</v>
      </c>
      <c r="I522" s="274" t="s">
        <v>1230</v>
      </c>
    </row>
    <row r="523" spans="7:9" ht="12.75">
      <c r="G523" s="258" t="s">
        <v>301</v>
      </c>
      <c r="H523" s="258" t="s">
        <v>339</v>
      </c>
      <c r="I523" s="274" t="s">
        <v>1231</v>
      </c>
    </row>
    <row r="524" spans="7:9" ht="12.75">
      <c r="G524" s="258" t="s">
        <v>1232</v>
      </c>
      <c r="H524" s="258" t="s">
        <v>354</v>
      </c>
      <c r="I524" s="274" t="s">
        <v>1233</v>
      </c>
    </row>
    <row r="525" spans="7:9" ht="12.75">
      <c r="G525" s="258" t="s">
        <v>302</v>
      </c>
      <c r="H525" s="258" t="s">
        <v>376</v>
      </c>
      <c r="I525" s="274" t="s">
        <v>1234</v>
      </c>
    </row>
    <row r="526" spans="7:9" ht="12.75">
      <c r="G526" s="258" t="s">
        <v>474</v>
      </c>
      <c r="H526" s="258" t="s">
        <v>327</v>
      </c>
      <c r="I526" s="274" t="s">
        <v>1235</v>
      </c>
    </row>
    <row r="527" spans="7:9" ht="12.75">
      <c r="G527" s="258" t="s">
        <v>303</v>
      </c>
      <c r="H527" s="258" t="s">
        <v>331</v>
      </c>
      <c r="I527" s="274" t="s">
        <v>1236</v>
      </c>
    </row>
    <row r="528" spans="7:9" ht="12.75">
      <c r="G528" s="258" t="s">
        <v>1237</v>
      </c>
      <c r="H528" s="258" t="s">
        <v>328</v>
      </c>
      <c r="I528" s="274" t="s">
        <v>1238</v>
      </c>
    </row>
    <row r="529" spans="7:9" ht="12.75">
      <c r="G529" s="258" t="s">
        <v>653</v>
      </c>
      <c r="H529" s="258" t="s">
        <v>367</v>
      </c>
      <c r="I529" s="274" t="s">
        <v>1239</v>
      </c>
    </row>
    <row r="530" spans="7:9" ht="12.75">
      <c r="G530" s="258" t="s">
        <v>475</v>
      </c>
      <c r="H530" s="258" t="s">
        <v>334</v>
      </c>
      <c r="I530" s="274" t="s">
        <v>1240</v>
      </c>
    </row>
    <row r="531" spans="7:9" ht="12.75">
      <c r="G531" s="258" t="s">
        <v>476</v>
      </c>
      <c r="H531" s="258" t="s">
        <v>339</v>
      </c>
      <c r="I531" s="274" t="s">
        <v>1241</v>
      </c>
    </row>
    <row r="532" spans="7:9" ht="12.75">
      <c r="G532" s="258" t="s">
        <v>304</v>
      </c>
      <c r="H532" s="258" t="s">
        <v>327</v>
      </c>
      <c r="I532" s="274" t="s">
        <v>1242</v>
      </c>
    </row>
    <row r="533" spans="7:9" ht="12.75">
      <c r="G533" s="258" t="s">
        <v>1243</v>
      </c>
      <c r="H533" s="258" t="s">
        <v>349</v>
      </c>
      <c r="I533" s="274" t="s">
        <v>1244</v>
      </c>
    </row>
    <row r="534" spans="7:9" ht="12.75">
      <c r="G534" s="258" t="s">
        <v>305</v>
      </c>
      <c r="H534" s="258" t="s">
        <v>329</v>
      </c>
      <c r="I534" s="274" t="s">
        <v>1245</v>
      </c>
    </row>
    <row r="535" spans="7:9" ht="12.75">
      <c r="G535" s="258" t="s">
        <v>477</v>
      </c>
      <c r="H535" s="258" t="s">
        <v>354</v>
      </c>
      <c r="I535" s="274" t="s">
        <v>1246</v>
      </c>
    </row>
    <row r="536" spans="7:9" ht="12.75">
      <c r="G536" s="258" t="s">
        <v>1489</v>
      </c>
      <c r="H536" s="258" t="s">
        <v>331</v>
      </c>
      <c r="I536" s="274" t="s">
        <v>1490</v>
      </c>
    </row>
    <row r="537" spans="7:9" ht="12.75">
      <c r="G537" s="258" t="s">
        <v>1491</v>
      </c>
      <c r="H537" s="258" t="s">
        <v>329</v>
      </c>
      <c r="I537" s="274" t="s">
        <v>1492</v>
      </c>
    </row>
    <row r="538" spans="7:9" ht="12.75">
      <c r="G538" s="258" t="s">
        <v>306</v>
      </c>
      <c r="H538" s="258" t="s">
        <v>352</v>
      </c>
      <c r="I538" s="274" t="s">
        <v>1247</v>
      </c>
    </row>
    <row r="539" spans="7:9" ht="12.75">
      <c r="G539" s="258" t="s">
        <v>644</v>
      </c>
      <c r="H539" s="258" t="s">
        <v>376</v>
      </c>
      <c r="I539" s="274" t="s">
        <v>1248</v>
      </c>
    </row>
    <row r="540" spans="7:9" ht="12.75">
      <c r="G540" s="258" t="s">
        <v>645</v>
      </c>
      <c r="H540" s="258" t="s">
        <v>354</v>
      </c>
      <c r="I540" s="274" t="s">
        <v>1249</v>
      </c>
    </row>
    <row r="541" spans="7:9" ht="12.75">
      <c r="G541" s="258" t="s">
        <v>307</v>
      </c>
      <c r="H541" s="258" t="s">
        <v>340</v>
      </c>
      <c r="I541" s="274" t="s">
        <v>1250</v>
      </c>
    </row>
    <row r="542" spans="7:9" ht="12.75">
      <c r="G542" s="258" t="s">
        <v>308</v>
      </c>
      <c r="H542" s="258" t="s">
        <v>331</v>
      </c>
      <c r="I542" s="274" t="s">
        <v>1251</v>
      </c>
    </row>
    <row r="543" spans="7:9" ht="12.75">
      <c r="G543" s="258" t="s">
        <v>646</v>
      </c>
      <c r="H543" s="258" t="s">
        <v>400</v>
      </c>
      <c r="I543" s="274" t="s">
        <v>1252</v>
      </c>
    </row>
    <row r="544" spans="7:9" ht="12.75">
      <c r="G544" s="258" t="s">
        <v>1253</v>
      </c>
      <c r="H544" s="258" t="s">
        <v>400</v>
      </c>
      <c r="I544" s="274" t="s">
        <v>1254</v>
      </c>
    </row>
    <row r="545" spans="7:9" ht="12.75">
      <c r="G545" s="258" t="s">
        <v>309</v>
      </c>
      <c r="H545" s="258" t="s">
        <v>340</v>
      </c>
      <c r="I545" s="274" t="s">
        <v>1255</v>
      </c>
    </row>
    <row r="546" spans="7:9" ht="12.75">
      <c r="G546" s="258" t="s">
        <v>568</v>
      </c>
      <c r="H546" s="258" t="s">
        <v>349</v>
      </c>
      <c r="I546" s="274" t="s">
        <v>1256</v>
      </c>
    </row>
    <row r="547" spans="7:9" ht="12.75">
      <c r="G547" s="258" t="s">
        <v>1257</v>
      </c>
      <c r="H547" s="258" t="s">
        <v>349</v>
      </c>
      <c r="I547" s="274" t="s">
        <v>1258</v>
      </c>
    </row>
    <row r="548" spans="7:9" ht="12.75">
      <c r="G548" s="258" t="s">
        <v>1259</v>
      </c>
      <c r="H548" s="258" t="s">
        <v>340</v>
      </c>
      <c r="I548" s="274" t="s">
        <v>1260</v>
      </c>
    </row>
    <row r="549" spans="7:9" ht="12.75">
      <c r="G549" s="258" t="s">
        <v>310</v>
      </c>
      <c r="H549" s="258" t="s">
        <v>352</v>
      </c>
      <c r="I549" s="274" t="s">
        <v>1261</v>
      </c>
    </row>
    <row r="550" spans="7:9" ht="12.75">
      <c r="G550" s="258" t="s">
        <v>478</v>
      </c>
      <c r="H550" s="258" t="s">
        <v>376</v>
      </c>
      <c r="I550" s="274" t="s">
        <v>1262</v>
      </c>
    </row>
    <row r="551" spans="7:9" ht="12.75">
      <c r="G551" s="258" t="s">
        <v>647</v>
      </c>
      <c r="H551" s="258" t="s">
        <v>330</v>
      </c>
      <c r="I551" s="274" t="s">
        <v>1263</v>
      </c>
    </row>
    <row r="552" spans="7:9" ht="12.75">
      <c r="G552" s="258" t="s">
        <v>1264</v>
      </c>
      <c r="H552" s="258" t="s">
        <v>354</v>
      </c>
      <c r="I552" s="274" t="s">
        <v>1265</v>
      </c>
    </row>
    <row r="553" spans="7:9" ht="12.75">
      <c r="G553" s="258" t="s">
        <v>569</v>
      </c>
      <c r="H553" s="258" t="s">
        <v>332</v>
      </c>
      <c r="I553" s="274" t="s">
        <v>1266</v>
      </c>
    </row>
    <row r="554" spans="7:9" ht="12.75">
      <c r="G554" s="258" t="s">
        <v>311</v>
      </c>
      <c r="H554" s="258" t="s">
        <v>365</v>
      </c>
      <c r="I554" s="274" t="s">
        <v>1267</v>
      </c>
    </row>
    <row r="555" spans="7:9" ht="12.75">
      <c r="G555" s="258" t="s">
        <v>479</v>
      </c>
      <c r="H555" s="258" t="s">
        <v>329</v>
      </c>
      <c r="I555" s="274" t="s">
        <v>1268</v>
      </c>
    </row>
    <row r="556" spans="7:9" ht="12.75">
      <c r="G556" s="258" t="s">
        <v>480</v>
      </c>
      <c r="H556" s="258" t="s">
        <v>331</v>
      </c>
      <c r="I556" s="274" t="s">
        <v>1269</v>
      </c>
    </row>
    <row r="557" spans="7:9" ht="12.75">
      <c r="G557" s="258" t="s">
        <v>1270</v>
      </c>
      <c r="H557" s="258" t="s">
        <v>328</v>
      </c>
      <c r="I557" s="274" t="s">
        <v>1271</v>
      </c>
    </row>
    <row r="558" spans="7:9" ht="12.75">
      <c r="G558" s="258" t="s">
        <v>1272</v>
      </c>
      <c r="H558" s="258" t="s">
        <v>349</v>
      </c>
      <c r="I558" s="274" t="s">
        <v>1273</v>
      </c>
    </row>
    <row r="559" spans="7:9" ht="12.75">
      <c r="G559" s="258" t="s">
        <v>1493</v>
      </c>
      <c r="H559" s="258" t="s">
        <v>327</v>
      </c>
      <c r="I559" s="274" t="s">
        <v>1494</v>
      </c>
    </row>
    <row r="560" spans="7:9" ht="12.75">
      <c r="G560" s="258" t="s">
        <v>648</v>
      </c>
      <c r="H560" s="258" t="s">
        <v>329</v>
      </c>
      <c r="I560" s="274" t="s">
        <v>1274</v>
      </c>
    </row>
    <row r="561" spans="7:9" ht="12.75">
      <c r="G561" s="258" t="s">
        <v>312</v>
      </c>
      <c r="H561" s="258" t="s">
        <v>331</v>
      </c>
      <c r="I561" s="274" t="s">
        <v>1275</v>
      </c>
    </row>
    <row r="562" spans="7:9" ht="12.75">
      <c r="G562" s="258" t="s">
        <v>1276</v>
      </c>
      <c r="H562" s="258" t="s">
        <v>340</v>
      </c>
      <c r="I562" s="274" t="s">
        <v>1277</v>
      </c>
    </row>
    <row r="563" spans="7:9" ht="12.75">
      <c r="G563" s="258" t="s">
        <v>570</v>
      </c>
      <c r="H563" s="258" t="s">
        <v>327</v>
      </c>
      <c r="I563" s="274" t="s">
        <v>1278</v>
      </c>
    </row>
    <row r="564" spans="7:9" ht="12.75">
      <c r="G564" s="258" t="s">
        <v>1279</v>
      </c>
      <c r="H564" s="258" t="s">
        <v>367</v>
      </c>
      <c r="I564" s="274" t="s">
        <v>1280</v>
      </c>
    </row>
    <row r="565" spans="7:9" ht="12.75">
      <c r="G565" s="258" t="s">
        <v>1495</v>
      </c>
      <c r="H565" s="258" t="s">
        <v>354</v>
      </c>
      <c r="I565" s="274" t="s">
        <v>1496</v>
      </c>
    </row>
    <row r="566" spans="7:9" ht="12.75">
      <c r="G566" s="258" t="s">
        <v>1497</v>
      </c>
      <c r="H566" s="258" t="s">
        <v>330</v>
      </c>
      <c r="I566" s="274" t="s">
        <v>1498</v>
      </c>
    </row>
    <row r="567" spans="7:9" ht="12.75">
      <c r="G567" s="258" t="s">
        <v>1499</v>
      </c>
      <c r="H567" s="258" t="s">
        <v>330</v>
      </c>
      <c r="I567" s="274" t="s">
        <v>1500</v>
      </c>
    </row>
    <row r="568" spans="7:9" ht="12.75">
      <c r="G568" s="258" t="s">
        <v>313</v>
      </c>
      <c r="H568" s="258" t="s">
        <v>365</v>
      </c>
      <c r="I568" s="274" t="s">
        <v>1281</v>
      </c>
    </row>
    <row r="569" spans="7:9" ht="12.75">
      <c r="G569" s="258" t="s">
        <v>314</v>
      </c>
      <c r="H569" s="258" t="s">
        <v>327</v>
      </c>
      <c r="I569" s="274" t="s">
        <v>1282</v>
      </c>
    </row>
    <row r="570" spans="7:9" ht="12.75">
      <c r="G570" s="258" t="s">
        <v>1283</v>
      </c>
      <c r="H570" s="258" t="s">
        <v>352</v>
      </c>
      <c r="I570" s="274" t="s">
        <v>1284</v>
      </c>
    </row>
    <row r="571" spans="7:9" ht="12.75">
      <c r="G571" s="258" t="s">
        <v>1285</v>
      </c>
      <c r="H571" s="258" t="s">
        <v>331</v>
      </c>
      <c r="I571" s="274" t="s">
        <v>1286</v>
      </c>
    </row>
    <row r="572" spans="7:9" ht="12.75">
      <c r="G572" s="258" t="s">
        <v>315</v>
      </c>
      <c r="H572" s="258" t="s">
        <v>327</v>
      </c>
      <c r="I572" s="274" t="s">
        <v>1287</v>
      </c>
    </row>
    <row r="573" spans="7:9" ht="12.75">
      <c r="G573" s="258" t="s">
        <v>316</v>
      </c>
      <c r="H573" s="258" t="s">
        <v>365</v>
      </c>
      <c r="I573" s="274" t="s">
        <v>1288</v>
      </c>
    </row>
    <row r="574" spans="7:9" ht="12.75">
      <c r="G574" s="258" t="s">
        <v>1289</v>
      </c>
      <c r="H574" s="258" t="s">
        <v>400</v>
      </c>
      <c r="I574" s="274" t="s">
        <v>1290</v>
      </c>
    </row>
    <row r="575" spans="7:9" ht="12.75">
      <c r="G575" s="258" t="s">
        <v>317</v>
      </c>
      <c r="H575" s="258" t="s">
        <v>341</v>
      </c>
      <c r="I575" s="274" t="s">
        <v>1291</v>
      </c>
    </row>
    <row r="576" spans="7:9" ht="12.75">
      <c r="G576" s="258" t="s">
        <v>1292</v>
      </c>
      <c r="H576" s="258" t="s">
        <v>339</v>
      </c>
      <c r="I576" s="274" t="s">
        <v>1293</v>
      </c>
    </row>
    <row r="577" spans="7:9" ht="12.75">
      <c r="G577" s="258" t="s">
        <v>649</v>
      </c>
      <c r="H577" s="258" t="s">
        <v>339</v>
      </c>
      <c r="I577" s="274" t="s">
        <v>1294</v>
      </c>
    </row>
    <row r="578" spans="7:9" ht="12.75">
      <c r="G578" s="258" t="s">
        <v>318</v>
      </c>
      <c r="H578" s="258" t="s">
        <v>352</v>
      </c>
      <c r="I578" s="274" t="s">
        <v>1295</v>
      </c>
    </row>
    <row r="579" spans="7:9" ht="12.75">
      <c r="G579" s="258" t="s">
        <v>481</v>
      </c>
      <c r="H579" s="258" t="s">
        <v>368</v>
      </c>
      <c r="I579" s="274" t="s">
        <v>1296</v>
      </c>
    </row>
    <row r="580" spans="7:9" ht="12.75">
      <c r="G580" s="258" t="s">
        <v>571</v>
      </c>
      <c r="H580" s="258" t="s">
        <v>332</v>
      </c>
      <c r="I580" s="274" t="s">
        <v>1297</v>
      </c>
    </row>
    <row r="581" spans="7:9" ht="12.75">
      <c r="G581" s="258" t="s">
        <v>572</v>
      </c>
      <c r="H581" s="258" t="s">
        <v>330</v>
      </c>
      <c r="I581" s="274" t="s">
        <v>1298</v>
      </c>
    </row>
    <row r="582" spans="7:9" ht="12.75">
      <c r="G582" s="258" t="s">
        <v>319</v>
      </c>
      <c r="H582" s="258" t="s">
        <v>548</v>
      </c>
      <c r="I582" s="274" t="s">
        <v>1299</v>
      </c>
    </row>
    <row r="583" spans="7:9" ht="12.75">
      <c r="G583" s="258" t="s">
        <v>1501</v>
      </c>
      <c r="H583" s="258" t="s">
        <v>343</v>
      </c>
      <c r="I583" s="274" t="s">
        <v>1502</v>
      </c>
    </row>
    <row r="584" spans="7:9" ht="12.75">
      <c r="G584" s="258" t="s">
        <v>1503</v>
      </c>
      <c r="H584" s="258" t="s">
        <v>352</v>
      </c>
      <c r="I584" s="274" t="s">
        <v>1504</v>
      </c>
    </row>
    <row r="585" spans="7:9" ht="12.75">
      <c r="G585" s="258" t="s">
        <v>482</v>
      </c>
      <c r="H585" s="258" t="s">
        <v>368</v>
      </c>
      <c r="I585" s="274" t="s">
        <v>1300</v>
      </c>
    </row>
    <row r="586" spans="7:9" ht="12.75">
      <c r="G586" s="258" t="s">
        <v>483</v>
      </c>
      <c r="H586" s="258" t="s">
        <v>365</v>
      </c>
      <c r="I586" s="274" t="s">
        <v>1301</v>
      </c>
    </row>
    <row r="587" spans="7:9" ht="12.75">
      <c r="G587" s="258" t="s">
        <v>320</v>
      </c>
      <c r="H587" s="258" t="s">
        <v>341</v>
      </c>
      <c r="I587" s="274" t="s">
        <v>1302</v>
      </c>
    </row>
    <row r="588" spans="7:9" ht="12.75">
      <c r="G588" s="258" t="s">
        <v>1505</v>
      </c>
      <c r="H588" s="258" t="s">
        <v>349</v>
      </c>
      <c r="I588" s="274" t="s">
        <v>1506</v>
      </c>
    </row>
    <row r="589" spans="7:9" ht="12.75">
      <c r="G589" s="258" t="s">
        <v>484</v>
      </c>
      <c r="H589" s="258" t="s">
        <v>340</v>
      </c>
      <c r="I589" s="274" t="s">
        <v>1303</v>
      </c>
    </row>
    <row r="590" spans="7:9" ht="12.75">
      <c r="G590" s="258" t="s">
        <v>1304</v>
      </c>
      <c r="H590" s="258" t="s">
        <v>548</v>
      </c>
      <c r="I590" s="274" t="s">
        <v>1305</v>
      </c>
    </row>
    <row r="591" spans="7:9" ht="12.75">
      <c r="G591" s="258" t="s">
        <v>485</v>
      </c>
      <c r="H591" s="258" t="s">
        <v>354</v>
      </c>
      <c r="I591" s="274" t="s">
        <v>1306</v>
      </c>
    </row>
    <row r="592" spans="7:9" ht="12.75">
      <c r="G592" s="258" t="s">
        <v>650</v>
      </c>
      <c r="H592" s="258" t="s">
        <v>354</v>
      </c>
      <c r="I592" s="274" t="s">
        <v>1307</v>
      </c>
    </row>
    <row r="593" spans="7:9" ht="12.75">
      <c r="G593" s="258" t="s">
        <v>321</v>
      </c>
      <c r="H593" s="258" t="s">
        <v>352</v>
      </c>
      <c r="I593" s="274" t="s">
        <v>1308</v>
      </c>
    </row>
    <row r="594" spans="7:9" ht="12.75">
      <c r="G594" s="258" t="s">
        <v>322</v>
      </c>
      <c r="H594" s="258" t="s">
        <v>352</v>
      </c>
      <c r="I594" s="274" t="s">
        <v>1309</v>
      </c>
    </row>
    <row r="595" spans="7:9" ht="12.75">
      <c r="G595" s="258" t="s">
        <v>486</v>
      </c>
      <c r="H595" s="258" t="s">
        <v>338</v>
      </c>
      <c r="I595" s="274" t="s">
        <v>1310</v>
      </c>
    </row>
    <row r="596" spans="7:9" ht="12.75">
      <c r="G596" s="258" t="s">
        <v>573</v>
      </c>
      <c r="H596" s="258" t="s">
        <v>334</v>
      </c>
      <c r="I596" s="274" t="s">
        <v>1311</v>
      </c>
    </row>
    <row r="597" spans="7:9" ht="12.75">
      <c r="G597" s="258" t="s">
        <v>651</v>
      </c>
      <c r="H597" s="258" t="s">
        <v>331</v>
      </c>
      <c r="I597" s="274" t="s">
        <v>1312</v>
      </c>
    </row>
    <row r="598" spans="7:9" ht="12.75">
      <c r="G598" s="258" t="s">
        <v>1313</v>
      </c>
      <c r="H598" s="258" t="s">
        <v>400</v>
      </c>
      <c r="I598" s="274" t="s">
        <v>1314</v>
      </c>
    </row>
    <row r="599" spans="7:9" ht="12.75">
      <c r="G599" s="258" t="s">
        <v>1315</v>
      </c>
      <c r="H599" s="258" t="s">
        <v>340</v>
      </c>
      <c r="I599" s="274" t="s">
        <v>1316</v>
      </c>
    </row>
    <row r="600" spans="7:9" ht="12.75">
      <c r="G600" s="258" t="s">
        <v>323</v>
      </c>
      <c r="H600" s="258" t="s">
        <v>338</v>
      </c>
      <c r="I600" s="274" t="s">
        <v>1317</v>
      </c>
    </row>
    <row r="601" spans="7:9" ht="12.75">
      <c r="G601" s="258" t="s">
        <v>324</v>
      </c>
      <c r="H601" s="258" t="s">
        <v>328</v>
      </c>
      <c r="I601" s="274" t="s">
        <v>1318</v>
      </c>
    </row>
    <row r="602" spans="7:9" ht="12.75">
      <c r="G602" s="258" t="s">
        <v>1319</v>
      </c>
      <c r="H602" s="258" t="s">
        <v>376</v>
      </c>
      <c r="I602" s="274" t="s">
        <v>1320</v>
      </c>
    </row>
    <row r="603" spans="7:9" ht="12.75">
      <c r="G603" s="258" t="s">
        <v>325</v>
      </c>
      <c r="H603" s="258" t="s">
        <v>365</v>
      </c>
      <c r="I603" s="274" t="s">
        <v>1321</v>
      </c>
    </row>
    <row r="604" spans="7:9" ht="12.75">
      <c r="G604" s="258" t="s">
        <v>1322</v>
      </c>
      <c r="H604" s="258" t="s">
        <v>349</v>
      </c>
      <c r="I604" s="274" t="s">
        <v>1323</v>
      </c>
    </row>
    <row r="605" spans="7:9" ht="12.75">
      <c r="G605" s="258" t="s">
        <v>1507</v>
      </c>
      <c r="H605" s="258" t="s">
        <v>352</v>
      </c>
      <c r="I605" s="274" t="s">
        <v>1508</v>
      </c>
    </row>
    <row r="606" spans="7:9" ht="12.75">
      <c r="G606" s="258" t="s">
        <v>1324</v>
      </c>
      <c r="H606" s="258" t="s">
        <v>347</v>
      </c>
      <c r="I606" s="274" t="s">
        <v>1325</v>
      </c>
    </row>
    <row r="607" spans="7:9" ht="12.75">
      <c r="G607" s="258" t="s">
        <v>487</v>
      </c>
      <c r="H607" s="258" t="s">
        <v>334</v>
      </c>
      <c r="I607" s="274" t="s">
        <v>1326</v>
      </c>
    </row>
    <row r="608" spans="7:9" ht="12.75">
      <c r="G608" s="258" t="s">
        <v>1327</v>
      </c>
      <c r="H608" s="258" t="s">
        <v>349</v>
      </c>
      <c r="I608" s="274" t="s">
        <v>1328</v>
      </c>
    </row>
    <row r="609" spans="7:9" ht="12.75">
      <c r="G609" s="258" t="s">
        <v>488</v>
      </c>
      <c r="H609" s="258" t="s">
        <v>337</v>
      </c>
      <c r="I609" s="274" t="s">
        <v>1329</v>
      </c>
    </row>
    <row r="610" spans="7:9" ht="12.75">
      <c r="G610" s="258" t="s">
        <v>489</v>
      </c>
      <c r="H610" s="258" t="s">
        <v>330</v>
      </c>
      <c r="I610" s="274" t="s">
        <v>1330</v>
      </c>
    </row>
    <row r="611" spans="7:9" ht="12.75">
      <c r="G611" s="258" t="s">
        <v>326</v>
      </c>
      <c r="H611" s="258" t="s">
        <v>368</v>
      </c>
      <c r="I611" s="274" t="s">
        <v>1331</v>
      </c>
    </row>
    <row r="612" spans="7:9" ht="12.75">
      <c r="G612" s="258" t="s">
        <v>1509</v>
      </c>
      <c r="H612" s="258" t="s">
        <v>343</v>
      </c>
      <c r="I612" s="274" t="s">
        <v>1510</v>
      </c>
    </row>
    <row r="613" spans="7:9" ht="12.75">
      <c r="G613" s="258" t="s">
        <v>1332</v>
      </c>
      <c r="H613" s="258" t="s">
        <v>354</v>
      </c>
      <c r="I613" s="274" t="s">
        <v>1333</v>
      </c>
    </row>
    <row r="614" spans="7:9" ht="12.75">
      <c r="G614" s="258" t="s">
        <v>490</v>
      </c>
      <c r="H614" s="258" t="s">
        <v>329</v>
      </c>
      <c r="I614" s="274" t="s">
        <v>1334</v>
      </c>
    </row>
    <row r="615" spans="7:9" ht="12.75">
      <c r="G615" s="258" t="s">
        <v>1511</v>
      </c>
      <c r="H615" s="258" t="s">
        <v>376</v>
      </c>
      <c r="I615" s="274" t="s">
        <v>1512</v>
      </c>
    </row>
    <row r="616" spans="7:9" ht="12.75">
      <c r="G616" s="258" t="s">
        <v>652</v>
      </c>
      <c r="H616" s="258" t="s">
        <v>338</v>
      </c>
      <c r="I616" s="274" t="s">
        <v>1335</v>
      </c>
    </row>
    <row r="617" spans="7:9" ht="12.75">
      <c r="G617" s="258" t="s">
        <v>1336</v>
      </c>
      <c r="H617" s="258" t="s">
        <v>337</v>
      </c>
      <c r="I617" s="274" t="s">
        <v>1337</v>
      </c>
    </row>
  </sheetData>
  <sheetProtection password="CC38" sheet="1" selectLockedCells="1" selectUnlockedCells="1"/>
  <mergeCells count="2">
    <mergeCell ref="G2:I2"/>
    <mergeCell ref="M2:P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M221"/>
  <sheetViews>
    <sheetView showGridLines="0" showRowColHeaders="0" tabSelected="1" zoomScale="120" zoomScaleNormal="120" zoomScalePageLayoutView="0" workbookViewId="0" topLeftCell="A1">
      <selection activeCell="B5" sqref="B5"/>
    </sheetView>
  </sheetViews>
  <sheetFormatPr defaultColWidth="11.5" defaultRowHeight="12.75"/>
  <cols>
    <col min="1" max="1" width="2.66015625" style="4" customWidth="1"/>
    <col min="2" max="2" width="23" style="4" customWidth="1"/>
    <col min="3" max="3" width="2.16015625" style="4" customWidth="1"/>
    <col min="4" max="4" width="27.33203125" style="4" customWidth="1"/>
    <col min="5" max="5" width="33.33203125" style="4" customWidth="1"/>
    <col min="6" max="6" width="14.83203125" style="4" customWidth="1"/>
    <col min="7" max="7" width="18.33203125" style="4" customWidth="1"/>
    <col min="8" max="8" width="12" style="4" customWidth="1"/>
    <col min="9" max="9" width="2.16015625" style="4" customWidth="1"/>
    <col min="10" max="10" width="11.83203125" style="4" customWidth="1"/>
    <col min="11" max="11" width="15.33203125" style="4" customWidth="1"/>
    <col min="12" max="17" width="11.83203125" style="4" customWidth="1"/>
    <col min="18" max="16384" width="11.5" style="4" customWidth="1"/>
  </cols>
  <sheetData>
    <row r="1" spans="1:39" ht="8.25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</row>
    <row r="2" spans="1:39" ht="33" customHeight="1">
      <c r="A2" s="3"/>
      <c r="B2" s="97" t="s">
        <v>97</v>
      </c>
      <c r="C2" s="3"/>
      <c r="D2" s="289" t="s">
        <v>58</v>
      </c>
      <c r="E2" s="289"/>
      <c r="F2" s="289"/>
      <c r="G2" s="289"/>
      <c r="H2" s="2"/>
      <c r="I2" s="3"/>
      <c r="J2" s="3"/>
      <c r="K2" s="3"/>
      <c r="L2" s="3"/>
      <c r="M2" s="3"/>
      <c r="N2" s="3"/>
      <c r="O2" s="3"/>
      <c r="P2" s="3"/>
      <c r="Q2" s="3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</row>
    <row r="3" spans="1:39" ht="11.25" customHeight="1" thickBot="1">
      <c r="A3" s="2"/>
      <c r="B3" s="3"/>
      <c r="C3" s="3"/>
      <c r="D3" s="3"/>
      <c r="E3" s="3"/>
      <c r="F3" s="3"/>
      <c r="G3" s="3"/>
      <c r="H3" s="2"/>
      <c r="I3" s="302" t="s">
        <v>491</v>
      </c>
      <c r="J3" s="302"/>
      <c r="K3" s="302"/>
      <c r="L3" s="3"/>
      <c r="M3" s="3"/>
      <c r="N3" s="3"/>
      <c r="O3" s="3"/>
      <c r="P3" s="3"/>
      <c r="Q3" s="3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</row>
    <row r="4" spans="1:39" ht="18" customHeight="1" thickBot="1">
      <c r="A4" s="2"/>
      <c r="B4" s="5" t="s">
        <v>0</v>
      </c>
      <c r="C4" s="2"/>
      <c r="D4" s="212" t="s">
        <v>1</v>
      </c>
      <c r="E4" s="213" t="s">
        <v>2</v>
      </c>
      <c r="F4" s="213" t="s">
        <v>4</v>
      </c>
      <c r="G4" s="214" t="s">
        <v>3</v>
      </c>
      <c r="H4" s="2"/>
      <c r="I4" s="304">
        <f>'Phase de poule'!P11</f>
        <v>9</v>
      </c>
      <c r="J4" s="304"/>
      <c r="K4" s="304"/>
      <c r="L4" s="303" t="s">
        <v>544</v>
      </c>
      <c r="M4" s="303"/>
      <c r="N4" s="3"/>
      <c r="O4" s="3"/>
      <c r="P4" s="3"/>
      <c r="Q4" s="3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</row>
    <row r="5" spans="1:39" ht="18.75" customHeight="1" thickBot="1">
      <c r="A5" s="2"/>
      <c r="B5" s="17"/>
      <c r="C5" s="2"/>
      <c r="D5" s="21"/>
      <c r="E5" s="21"/>
      <c r="F5" s="22"/>
      <c r="G5" s="20"/>
      <c r="H5" s="2"/>
      <c r="I5" s="320" t="s">
        <v>506</v>
      </c>
      <c r="J5" s="320"/>
      <c r="K5" s="320"/>
      <c r="L5" s="303" t="s">
        <v>545</v>
      </c>
      <c r="M5" s="303"/>
      <c r="N5" s="3"/>
      <c r="O5" s="3"/>
      <c r="P5" s="3"/>
      <c r="Q5" s="3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</row>
    <row r="6" spans="1:39" ht="18" customHeight="1" thickBot="1">
      <c r="A6" s="2"/>
      <c r="B6" s="5" t="s">
        <v>55</v>
      </c>
      <c r="C6" s="2"/>
      <c r="D6" s="6"/>
      <c r="E6" s="213" t="s">
        <v>575</v>
      </c>
      <c r="F6" s="7"/>
      <c r="G6" s="6"/>
      <c r="H6" s="2"/>
      <c r="I6" s="321" t="s">
        <v>605</v>
      </c>
      <c r="J6" s="321"/>
      <c r="K6" s="321"/>
      <c r="L6" s="303" t="s">
        <v>543</v>
      </c>
      <c r="M6" s="303"/>
      <c r="N6" s="3"/>
      <c r="O6" s="3"/>
      <c r="P6" s="3"/>
      <c r="Q6" s="3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</row>
    <row r="7" spans="1:39" ht="18" customHeight="1" thickBot="1">
      <c r="A7" s="2"/>
      <c r="B7" s="19"/>
      <c r="C7" s="2"/>
      <c r="D7" s="6"/>
      <c r="E7" s="21"/>
      <c r="F7" s="7"/>
      <c r="G7" s="6"/>
      <c r="H7" s="2"/>
      <c r="I7" s="3"/>
      <c r="J7" s="290" t="s">
        <v>100</v>
      </c>
      <c r="K7" s="291"/>
      <c r="L7" s="291"/>
      <c r="M7" s="292"/>
      <c r="N7" s="3"/>
      <c r="O7" s="3"/>
      <c r="P7" s="3"/>
      <c r="Q7" s="3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</row>
    <row r="8" spans="1:39" ht="6" customHeight="1" thickBot="1">
      <c r="A8" s="2"/>
      <c r="B8" s="2"/>
      <c r="C8" s="2"/>
      <c r="D8" s="2"/>
      <c r="E8" s="2"/>
      <c r="F8" s="3"/>
      <c r="G8" s="3"/>
      <c r="H8" s="2"/>
      <c r="I8" s="3"/>
      <c r="J8" s="293"/>
      <c r="K8" s="294"/>
      <c r="L8" s="294"/>
      <c r="M8" s="295"/>
      <c r="N8" s="3"/>
      <c r="O8" s="3"/>
      <c r="P8" s="3"/>
      <c r="Q8" s="3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</row>
    <row r="9" spans="1:39" ht="27" customHeight="1" thickBot="1">
      <c r="A9" s="2"/>
      <c r="B9" s="8"/>
      <c r="C9" s="9"/>
      <c r="D9" s="221" t="s">
        <v>5</v>
      </c>
      <c r="E9" s="213" t="s">
        <v>6</v>
      </c>
      <c r="F9" s="213" t="s">
        <v>53</v>
      </c>
      <c r="G9" s="222" t="s">
        <v>607</v>
      </c>
      <c r="H9" s="214" t="s">
        <v>40</v>
      </c>
      <c r="I9" s="3"/>
      <c r="J9" s="93" t="s">
        <v>507</v>
      </c>
      <c r="K9" s="296"/>
      <c r="L9" s="297"/>
      <c r="M9" s="298"/>
      <c r="N9" s="3"/>
      <c r="O9" s="3"/>
      <c r="P9" s="3"/>
      <c r="Q9" s="3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</row>
    <row r="10" spans="1:39" ht="18" customHeight="1">
      <c r="A10" s="2"/>
      <c r="B10" s="209" t="s">
        <v>508</v>
      </c>
      <c r="C10" s="10"/>
      <c r="D10" s="17"/>
      <c r="E10" s="11" t="str">
        <f>_xlfn.IFERROR(IF(D10&lt;&gt;"",VLOOKUP(D10,info_joueur,2,FALSE)," "),"")</f>
        <v> </v>
      </c>
      <c r="F10" s="11" t="str">
        <f>_xlfn.IFERROR(IF(D10&lt;&gt;"",VLOOKUP(D10,info_joueur,3,FALSE)," "),"")</f>
        <v> </v>
      </c>
      <c r="G10" s="17"/>
      <c r="H10" s="12"/>
      <c r="I10" s="3"/>
      <c r="J10" s="322" t="s">
        <v>99</v>
      </c>
      <c r="K10" s="299">
        <f>IF(K9&lt;&gt;"",VLOOKUP(K9,données!$M$3:$P$24,2,FALSE),"")</f>
      </c>
      <c r="L10" s="300"/>
      <c r="M10" s="301"/>
      <c r="N10" s="3"/>
      <c r="O10" s="3"/>
      <c r="P10" s="3"/>
      <c r="Q10" s="3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</row>
    <row r="11" spans="1:39" ht="18" customHeight="1">
      <c r="A11" s="2"/>
      <c r="B11" s="210" t="s">
        <v>509</v>
      </c>
      <c r="C11" s="10"/>
      <c r="D11" s="17"/>
      <c r="E11" s="11" t="str">
        <f>_xlfn.IFERROR(IF(D11&lt;&gt;"",VLOOKUP(D11,info_joueur,2,FALSE)," "),"")</f>
        <v> </v>
      </c>
      <c r="F11" s="11" t="str">
        <f>_xlfn.IFERROR(IF(D11&lt;&gt;"",VLOOKUP(D11,info_joueur,3,FALSE)," "),"")</f>
        <v> </v>
      </c>
      <c r="G11" s="18"/>
      <c r="H11" s="13"/>
      <c r="I11" s="3"/>
      <c r="J11" s="323"/>
      <c r="K11" s="299">
        <f>IF(K9&lt;&gt;"",VLOOKUP(K9,données!$M$3:$P$24,3,FALSE),"")</f>
      </c>
      <c r="L11" s="300"/>
      <c r="M11" s="301"/>
      <c r="N11" s="3"/>
      <c r="O11" s="3"/>
      <c r="P11" s="3"/>
      <c r="Q11" s="3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</row>
    <row r="12" spans="1:39" ht="18" customHeight="1" thickBot="1">
      <c r="A12" s="2"/>
      <c r="B12" s="211" t="s">
        <v>510</v>
      </c>
      <c r="C12" s="10"/>
      <c r="D12" s="17"/>
      <c r="E12" s="11" t="str">
        <f>_xlfn.IFERROR(IF(D12&lt;&gt;"",VLOOKUP(D12,info_joueur,2,FALSE)," "),"")</f>
        <v> </v>
      </c>
      <c r="F12" s="11" t="str">
        <f>_xlfn.IFERROR(IF(D12&lt;&gt;"",VLOOKUP(D12,info_joueur,3,FALSE)," "),"")</f>
        <v> </v>
      </c>
      <c r="G12" s="18"/>
      <c r="H12" s="1"/>
      <c r="I12" s="3"/>
      <c r="J12" s="94" t="s">
        <v>116</v>
      </c>
      <c r="K12" s="299">
        <f>IF(K9&lt;&gt;"",VLOOKUP(K9,données!$M$3:$P$24,4,FALSE),"")</f>
      </c>
      <c r="L12" s="300"/>
      <c r="M12" s="301"/>
      <c r="N12" s="3"/>
      <c r="O12" s="3"/>
      <c r="P12" s="3"/>
      <c r="Q12" s="3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</row>
    <row r="13" spans="1:39" ht="3.75" customHeight="1" thickBot="1">
      <c r="A13" s="2"/>
      <c r="B13" s="8"/>
      <c r="C13" s="9"/>
      <c r="D13" s="3"/>
      <c r="E13" s="3"/>
      <c r="F13" s="3"/>
      <c r="G13" s="3"/>
      <c r="H13" s="2"/>
      <c r="I13" s="3"/>
      <c r="J13" s="3"/>
      <c r="K13" s="3"/>
      <c r="L13" s="3"/>
      <c r="M13" s="3"/>
      <c r="N13" s="3"/>
      <c r="O13" s="3"/>
      <c r="P13" s="3"/>
      <c r="Q13" s="3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</row>
    <row r="14" spans="1:39" ht="18" customHeight="1" thickBot="1">
      <c r="A14" s="2"/>
      <c r="B14" s="215" t="s">
        <v>511</v>
      </c>
      <c r="C14" s="2"/>
      <c r="D14" s="17"/>
      <c r="E14" s="11" t="str">
        <f>_xlfn.IFERROR(IF(D14&lt;&gt;"",VLOOKUP(D14,info_joueur,2,FALSE)," "),"")</f>
        <v> </v>
      </c>
      <c r="F14" s="11" t="str">
        <f>_xlfn.IFERROR(IF(D14&lt;&gt;"",VLOOKUP(D14,info_joueur,3,FALSE)," "),"")</f>
        <v> </v>
      </c>
      <c r="G14" s="17"/>
      <c r="H14" s="2"/>
      <c r="I14" s="3"/>
      <c r="J14" s="3"/>
      <c r="K14" s="3"/>
      <c r="L14" s="3"/>
      <c r="M14" s="3"/>
      <c r="N14" s="3"/>
      <c r="O14" s="3"/>
      <c r="P14" s="3"/>
      <c r="Q14" s="3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</row>
    <row r="15" spans="1:39" ht="17.25" customHeight="1" thickTop="1">
      <c r="A15" s="2"/>
      <c r="B15" s="216" t="s">
        <v>512</v>
      </c>
      <c r="C15" s="2"/>
      <c r="D15" s="17"/>
      <c r="E15" s="11" t="str">
        <f>_xlfn.IFERROR(IF(D15&lt;&gt;"",VLOOKUP(D15,info_joueur,2,FALSE)," "),"")</f>
        <v> </v>
      </c>
      <c r="F15" s="11" t="str">
        <f>_xlfn.IFERROR(IF(D15&lt;&gt;"",VLOOKUP(D15,info_joueur,3,FALSE)," "),"")</f>
        <v> </v>
      </c>
      <c r="G15" s="18"/>
      <c r="H15" s="2"/>
      <c r="I15" s="3"/>
      <c r="J15" s="3"/>
      <c r="K15" s="305" t="s">
        <v>532</v>
      </c>
      <c r="L15" s="306"/>
      <c r="M15" s="307"/>
      <c r="N15" s="3"/>
      <c r="O15" s="3"/>
      <c r="P15" s="3"/>
      <c r="Q15" s="3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</row>
    <row r="16" spans="1:39" ht="18" customHeight="1" thickBot="1">
      <c r="A16" s="2"/>
      <c r="B16" s="217" t="s">
        <v>513</v>
      </c>
      <c r="C16" s="2"/>
      <c r="D16" s="17"/>
      <c r="E16" s="11" t="str">
        <f>_xlfn.IFERROR(IF(D16&lt;&gt;"",VLOOKUP(D16,info_joueur,2,FALSE)," "),"")</f>
        <v> </v>
      </c>
      <c r="F16" s="11" t="str">
        <f>_xlfn.IFERROR(IF(D16&lt;&gt;"",VLOOKUP(D16,info_joueur,3,FALSE)," "),"")</f>
        <v> </v>
      </c>
      <c r="G16" s="18"/>
      <c r="H16" s="1"/>
      <c r="I16" s="3"/>
      <c r="J16" s="3"/>
      <c r="K16" s="308"/>
      <c r="L16" s="309"/>
      <c r="M16" s="310"/>
      <c r="N16" s="3"/>
      <c r="O16" s="3"/>
      <c r="P16" s="3"/>
      <c r="Q16" s="3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</row>
    <row r="17" spans="1:39" ht="3.75" customHeight="1" thickBot="1">
      <c r="A17" s="2"/>
      <c r="B17" s="8"/>
      <c r="C17" s="9"/>
      <c r="D17" s="3"/>
      <c r="E17" s="3"/>
      <c r="F17" s="3"/>
      <c r="G17" s="3"/>
      <c r="H17" s="2"/>
      <c r="I17" s="3"/>
      <c r="J17" s="3"/>
      <c r="K17" s="3"/>
      <c r="L17" s="3"/>
      <c r="M17" s="3"/>
      <c r="N17" s="3"/>
      <c r="O17" s="3"/>
      <c r="P17" s="3"/>
      <c r="Q17" s="3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</row>
    <row r="18" spans="1:39" ht="18" customHeight="1" thickBot="1">
      <c r="A18" s="3"/>
      <c r="B18" s="218" t="s">
        <v>514</v>
      </c>
      <c r="C18" s="2"/>
      <c r="D18" s="17"/>
      <c r="E18" s="11" t="str">
        <f>_xlfn.IFERROR(IF(D18&lt;&gt;"",VLOOKUP(D18,info_joueur,2,FALSE)," "),"")</f>
        <v> </v>
      </c>
      <c r="F18" s="11" t="str">
        <f>_xlfn.IFERROR(IF(D18&lt;&gt;"",VLOOKUP(D18,info_joueur,3,FALSE)," "),"")</f>
        <v> </v>
      </c>
      <c r="G18" s="17"/>
      <c r="H18" s="3"/>
      <c r="I18" s="3"/>
      <c r="J18" s="3"/>
      <c r="K18" s="3"/>
      <c r="L18" s="3"/>
      <c r="M18" s="3"/>
      <c r="N18" s="3"/>
      <c r="O18" s="3"/>
      <c r="P18" s="3"/>
      <c r="Q18" s="3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</row>
    <row r="19" spans="1:39" ht="18" customHeight="1" thickTop="1">
      <c r="A19" s="3"/>
      <c r="B19" s="219" t="s">
        <v>515</v>
      </c>
      <c r="C19" s="2"/>
      <c r="D19" s="17"/>
      <c r="E19" s="11" t="str">
        <f>_xlfn.IFERROR(IF(D19&lt;&gt;"",VLOOKUP(D19,info_joueur,2,FALSE)," "),"")</f>
        <v> </v>
      </c>
      <c r="F19" s="11" t="str">
        <f>_xlfn.IFERROR(IF(D19&lt;&gt;"",VLOOKUP(D19,info_joueur,3,FALSE)," "),"")</f>
        <v> </v>
      </c>
      <c r="G19" s="18"/>
      <c r="H19" s="3"/>
      <c r="I19" s="3"/>
      <c r="J19" s="3"/>
      <c r="K19" s="305" t="s">
        <v>533</v>
      </c>
      <c r="L19" s="306"/>
      <c r="M19" s="307"/>
      <c r="N19" s="3"/>
      <c r="O19" s="3"/>
      <c r="P19" s="3"/>
      <c r="Q19" s="3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</row>
    <row r="20" spans="1:39" ht="18" customHeight="1" thickBot="1">
      <c r="A20" s="3"/>
      <c r="B20" s="220" t="s">
        <v>516</v>
      </c>
      <c r="C20" s="2"/>
      <c r="D20" s="17"/>
      <c r="E20" s="11" t="str">
        <f>_xlfn.IFERROR(IF(D20&lt;&gt;"",VLOOKUP(D20,info_joueur,2,FALSE)," "),"")</f>
        <v> </v>
      </c>
      <c r="F20" s="11" t="str">
        <f>_xlfn.IFERROR(IF(D20&lt;&gt;"",VLOOKUP(D20,info_joueur,3,FALSE)," "),"")</f>
        <v> </v>
      </c>
      <c r="G20" s="18"/>
      <c r="H20" s="1"/>
      <c r="I20" s="3"/>
      <c r="J20" s="3"/>
      <c r="K20" s="308"/>
      <c r="L20" s="309"/>
      <c r="M20" s="310"/>
      <c r="N20" s="3"/>
      <c r="O20" s="3"/>
      <c r="P20" s="3"/>
      <c r="Q20" s="3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</row>
    <row r="21" spans="1:39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</row>
    <row r="22" spans="1:39" ht="21" customHeight="1">
      <c r="A22" s="3"/>
      <c r="B22" s="3"/>
      <c r="C22" s="3"/>
      <c r="D22" s="95" t="s">
        <v>114</v>
      </c>
      <c r="E22" s="325" t="s">
        <v>517</v>
      </c>
      <c r="F22" s="325"/>
      <c r="G22" s="325"/>
      <c r="H22" s="326"/>
      <c r="I22" s="3"/>
      <c r="J22" s="314" t="s">
        <v>1513</v>
      </c>
      <c r="K22" s="315"/>
      <c r="L22" s="315"/>
      <c r="M22" s="316"/>
      <c r="N22" s="3"/>
      <c r="O22" s="3"/>
      <c r="P22" s="3"/>
      <c r="Q22" s="3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</row>
    <row r="23" spans="1:39" ht="21" customHeight="1">
      <c r="A23" s="3"/>
      <c r="B23" s="324" t="s">
        <v>1516</v>
      </c>
      <c r="C23" s="3"/>
      <c r="D23" s="96"/>
      <c r="E23" s="312" t="s">
        <v>588</v>
      </c>
      <c r="F23" s="312"/>
      <c r="G23" s="312"/>
      <c r="H23" s="313"/>
      <c r="I23" s="3"/>
      <c r="J23" s="311" t="s">
        <v>1515</v>
      </c>
      <c r="K23" s="312"/>
      <c r="L23" s="312"/>
      <c r="M23" s="313"/>
      <c r="N23" s="3"/>
      <c r="O23" s="3"/>
      <c r="P23" s="3"/>
      <c r="Q23" s="3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</row>
    <row r="24" spans="1:39" ht="21" customHeight="1">
      <c r="A24" s="3"/>
      <c r="B24" s="324"/>
      <c r="C24" s="3"/>
      <c r="D24" s="327" t="s">
        <v>576</v>
      </c>
      <c r="E24" s="328"/>
      <c r="F24" s="328"/>
      <c r="G24" s="328"/>
      <c r="H24" s="329"/>
      <c r="I24" s="3"/>
      <c r="J24" s="311" t="s">
        <v>1514</v>
      </c>
      <c r="K24" s="312"/>
      <c r="L24" s="312"/>
      <c r="M24" s="313"/>
      <c r="N24" s="3"/>
      <c r="O24" s="3"/>
      <c r="P24" s="3"/>
      <c r="Q24" s="3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</row>
    <row r="25" spans="1:39" ht="21" customHeight="1">
      <c r="A25" s="3"/>
      <c r="B25" s="3"/>
      <c r="C25" s="3"/>
      <c r="D25" s="3"/>
      <c r="E25" s="3"/>
      <c r="F25" s="3"/>
      <c r="G25" s="3"/>
      <c r="H25" s="3"/>
      <c r="I25" s="3"/>
      <c r="J25" s="317" t="s">
        <v>606</v>
      </c>
      <c r="K25" s="318"/>
      <c r="L25" s="318"/>
      <c r="M25" s="319"/>
      <c r="N25" s="3"/>
      <c r="O25" s="3"/>
      <c r="P25" s="3"/>
      <c r="Q25" s="3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</row>
    <row r="26" spans="1:39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</row>
    <row r="27" spans="1:39" ht="25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</row>
    <row r="28" spans="1:39" ht="25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</row>
    <row r="29" spans="1:39" ht="25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</row>
    <row r="30" spans="1:39" ht="25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</row>
    <row r="31" spans="1:39" ht="25.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</row>
    <row r="32" spans="1:39" ht="12.7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</row>
    <row r="33" spans="1:39" ht="12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</row>
    <row r="34" spans="1:39" ht="12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</row>
    <row r="35" spans="1:39" ht="12.7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</row>
    <row r="36" spans="1:39" ht="12.7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</row>
    <row r="37" spans="1:39" ht="12.7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</row>
    <row r="38" spans="1:39" ht="12.7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ht="12.7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</row>
    <row r="40" spans="1:39" ht="12.7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</row>
    <row r="41" spans="1:39" ht="12.7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</row>
    <row r="42" spans="1:39" ht="12.7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</row>
    <row r="43" spans="1:39" ht="12.7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</row>
    <row r="44" spans="1:39" ht="12.7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</row>
    <row r="45" spans="1:39" ht="12.7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</row>
    <row r="46" spans="1:39" ht="12.7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</row>
    <row r="47" spans="1:39" ht="12.7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</row>
    <row r="48" spans="1:39" ht="12.7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</row>
    <row r="49" spans="1:39" ht="12.7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</row>
    <row r="50" spans="1:39" ht="12.7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</row>
    <row r="51" spans="1:39" ht="12.7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</row>
    <row r="52" spans="1:39" ht="12.7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</row>
    <row r="53" spans="1:39" ht="12.7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</row>
    <row r="54" spans="1:39" ht="12.7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</row>
    <row r="55" spans="1:39" ht="12.7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</row>
    <row r="56" spans="1:39" ht="12.7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</row>
    <row r="57" spans="1:39" ht="12.7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</row>
    <row r="58" spans="1:39" ht="12.7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</row>
    <row r="59" spans="1:39" ht="12.7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</row>
    <row r="60" spans="1:39" ht="12.7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</row>
    <row r="61" spans="1:39" ht="12.7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</row>
    <row r="62" spans="1:39" ht="12.7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</row>
    <row r="63" spans="1:39" ht="12.7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</row>
    <row r="64" spans="1:39" ht="12.7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</row>
    <row r="65" spans="1:39" ht="12.7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</row>
    <row r="66" spans="1:39" ht="12.7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</row>
    <row r="67" spans="1:39" ht="12.7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</row>
    <row r="68" spans="1:39" ht="12.7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</row>
    <row r="69" spans="1:39" ht="12.7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</row>
    <row r="70" spans="1:39" ht="12.7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</row>
    <row r="71" spans="1:39" ht="12.7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</row>
    <row r="72" spans="1:39" ht="12.7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</row>
    <row r="73" spans="1:39" ht="12.7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</row>
    <row r="74" spans="1:39" ht="12.7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</row>
    <row r="75" spans="1:39" ht="12.7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</row>
    <row r="76" spans="1:39" ht="12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</row>
    <row r="77" spans="1:39" ht="12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</row>
    <row r="78" spans="1:39" ht="12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</row>
    <row r="79" spans="1:39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</row>
    <row r="80" spans="1:39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</row>
    <row r="81" spans="1:39" ht="12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</row>
    <row r="82" spans="1:39" ht="12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</row>
    <row r="83" spans="1:39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</row>
    <row r="84" spans="1:39" ht="12.7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</row>
    <row r="85" spans="1:39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</row>
    <row r="86" spans="1:39" ht="12.7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</row>
    <row r="87" spans="1:39" ht="12.7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</row>
    <row r="88" spans="1:39" ht="12.7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</row>
    <row r="89" spans="1:39" ht="12.7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</row>
    <row r="90" spans="1:39" ht="12.7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</row>
    <row r="91" spans="1:39" ht="12.7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</row>
    <row r="92" spans="1:39" ht="12.7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</row>
    <row r="93" spans="1:39" ht="12.7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</row>
    <row r="94" spans="1:39" ht="12.7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</row>
    <row r="95" spans="1:39" ht="12.7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</row>
    <row r="96" spans="1:39" ht="12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</row>
    <row r="97" spans="1:39" ht="12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</row>
    <row r="98" spans="1:39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</row>
    <row r="99" spans="1:39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</row>
    <row r="100" spans="1:39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</row>
    <row r="101" spans="1:39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</row>
    <row r="102" spans="1:39" ht="12.7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</row>
    <row r="103" spans="1:39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</row>
    <row r="104" spans="1:39" ht="12.7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</row>
    <row r="105" spans="1:39" ht="12.7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</row>
    <row r="106" spans="1:39" ht="12.7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</row>
    <row r="107" spans="1:39" ht="12.7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</row>
    <row r="108" spans="1:39" ht="12.7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</row>
    <row r="109" spans="1:39" ht="12.7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</row>
    <row r="110" spans="1:39" ht="12.7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</row>
    <row r="111" spans="1:39" ht="12.7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</row>
    <row r="112" spans="1:39" ht="12.7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</row>
    <row r="113" spans="1:39" ht="12.7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</row>
    <row r="114" spans="1:39" ht="12.7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</row>
    <row r="115" spans="1:39" ht="12.7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</row>
    <row r="116" spans="1:39" ht="12.7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</row>
    <row r="117" spans="1:39" ht="12.7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</row>
    <row r="118" spans="1:39" ht="12.7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</row>
    <row r="119" spans="1:39" ht="12.7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</row>
    <row r="120" spans="1:39" ht="12.7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</row>
    <row r="121" spans="1:39" ht="12.7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</row>
    <row r="122" spans="1:39" ht="12.7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</row>
    <row r="123" spans="1:39" ht="12.7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</row>
    <row r="124" spans="1:39" ht="12.7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</row>
    <row r="125" spans="1:39" ht="12.7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</row>
    <row r="126" spans="1:39" ht="12.7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</row>
    <row r="127" spans="1:39" ht="12.7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</row>
    <row r="128" spans="1:39" ht="12.7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</row>
    <row r="129" spans="1:39" ht="12.7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</row>
    <row r="130" spans="1:39" ht="12.7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</row>
    <row r="131" spans="1:39" ht="12.7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</row>
    <row r="132" spans="1:39" ht="12.7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</row>
    <row r="133" spans="1:39" ht="12.7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</row>
    <row r="134" spans="1:39" ht="12.7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</row>
    <row r="135" spans="1:39" ht="12.7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</row>
    <row r="136" spans="1:39" ht="12.7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</row>
    <row r="137" spans="1:39" ht="12.7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</row>
    <row r="138" spans="1:39" ht="12.7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</row>
    <row r="139" spans="1:39" ht="12.7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</row>
    <row r="140" spans="1:39" ht="12.7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</row>
    <row r="141" spans="1:39" ht="12.7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</row>
    <row r="142" spans="1:39" ht="12.7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</row>
    <row r="143" spans="1:39" ht="12.7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</row>
    <row r="144" spans="1:39" ht="12.7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</row>
    <row r="145" spans="1:39" ht="12.7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</row>
    <row r="146" spans="1:39" ht="12.7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</row>
    <row r="147" spans="1:39" ht="12.7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</row>
    <row r="148" spans="1:39" ht="12.7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</row>
    <row r="149" spans="1:39" ht="12.7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</row>
    <row r="150" spans="1:39" ht="12.7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</row>
    <row r="151" spans="1:39" ht="12.7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</row>
    <row r="152" spans="1:39" ht="12.7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</row>
    <row r="153" spans="1:39" ht="12.7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</row>
    <row r="154" spans="1:39" ht="12.7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</row>
    <row r="155" spans="1:39" ht="12.7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</row>
    <row r="156" spans="1:39" ht="12.7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</row>
    <row r="157" spans="1:39" ht="12.7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</row>
    <row r="158" spans="1:39" ht="12.7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</row>
    <row r="159" spans="1:39" ht="12.7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</row>
    <row r="160" spans="1:39" ht="12.7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</row>
    <row r="161" spans="1:39" ht="12.7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</row>
    <row r="162" spans="1:39" ht="12.7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</row>
    <row r="163" spans="1:39" ht="12.7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</row>
    <row r="164" spans="1:39" ht="12.7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</row>
    <row r="165" spans="1:39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</row>
    <row r="166" spans="1:39" ht="12.7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</row>
    <row r="167" spans="1:39" ht="12.7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</row>
    <row r="168" spans="1:39" ht="12.7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</row>
    <row r="169" spans="1:39" ht="12.7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</row>
    <row r="170" spans="1:39" ht="12.7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</row>
    <row r="171" spans="1:39" ht="12.7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</row>
    <row r="172" spans="1:39" ht="12.7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</row>
    <row r="173" spans="1:39" ht="12.7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</row>
    <row r="174" spans="1:39" ht="12.7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</row>
    <row r="175" spans="1:39" ht="12.7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</row>
    <row r="176" spans="1:39" ht="12.7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</row>
    <row r="177" spans="1:39" ht="12.7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</row>
    <row r="178" spans="1:39" ht="12.7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</row>
    <row r="179" spans="1:39" ht="12.7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</row>
    <row r="180" spans="1:39" ht="12.7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</row>
    <row r="181" spans="1:39" ht="12.7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</row>
    <row r="182" spans="1:39" ht="12.7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</row>
    <row r="183" spans="1:39" ht="12.7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</row>
    <row r="184" spans="1:39" ht="12.7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</row>
    <row r="185" spans="1:39" ht="12.7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</row>
    <row r="186" spans="1:39" ht="12.7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</row>
    <row r="187" spans="1:39" ht="12.7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</row>
    <row r="188" spans="1:39" ht="12.7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</row>
    <row r="189" spans="1:39" ht="12.7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</row>
    <row r="190" spans="1:39" ht="12.7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</row>
    <row r="191" spans="1:39" ht="12.7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</row>
    <row r="192" spans="1:39" ht="12.7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</row>
    <row r="193" spans="1:39" ht="12.7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</row>
    <row r="194" spans="1:39" ht="12.7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</row>
    <row r="195" spans="1:39" ht="12.7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</row>
    <row r="196" spans="1:39" ht="12.7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</row>
    <row r="197" spans="1:39" ht="12.7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</row>
    <row r="198" spans="1:39" ht="12.7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</row>
    <row r="199" spans="1:39" ht="12.7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</row>
    <row r="200" spans="1:39" ht="12.7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</row>
    <row r="201" spans="1:39" ht="12.7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</row>
    <row r="202" spans="1:39" ht="12.7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</row>
    <row r="203" spans="1:39" ht="12.7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</row>
    <row r="204" spans="1:39" ht="12.7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</row>
    <row r="205" spans="1:39" ht="12.7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</row>
    <row r="206" spans="1:39" ht="12.7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</row>
    <row r="207" spans="1:39" ht="12.7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</row>
    <row r="208" spans="1:39" ht="12.7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</row>
    <row r="209" spans="1:39" ht="12.7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</row>
    <row r="210" spans="1:39" ht="12.7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</row>
    <row r="211" spans="1:39" ht="12.7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</row>
    <row r="212" spans="1:39" ht="12.7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</row>
    <row r="213" spans="1:39" ht="12.7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</row>
    <row r="214" spans="1:39" ht="12.7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</row>
    <row r="215" spans="1:39" ht="12.7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</row>
    <row r="216" spans="1:39" ht="12.7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</row>
    <row r="217" spans="1:39" ht="12.7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</row>
    <row r="218" spans="1:39" ht="12.7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</row>
    <row r="219" spans="1:39" ht="12.7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</row>
    <row r="220" spans="1:39" ht="12.7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</row>
    <row r="221" spans="1:39" ht="12.7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</row>
  </sheetData>
  <sheetProtection password="CC38" sheet="1" selectLockedCells="1"/>
  <mergeCells count="24">
    <mergeCell ref="J25:M25"/>
    <mergeCell ref="L6:M6"/>
    <mergeCell ref="I5:K5"/>
    <mergeCell ref="I6:K6"/>
    <mergeCell ref="J10:J11"/>
    <mergeCell ref="B23:B24"/>
    <mergeCell ref="K12:M12"/>
    <mergeCell ref="E22:H22"/>
    <mergeCell ref="D24:H24"/>
    <mergeCell ref="E23:H23"/>
    <mergeCell ref="K19:M20"/>
    <mergeCell ref="K15:M16"/>
    <mergeCell ref="J23:M23"/>
    <mergeCell ref="J22:M22"/>
    <mergeCell ref="J24:M24"/>
    <mergeCell ref="L4:M4"/>
    <mergeCell ref="D2:G2"/>
    <mergeCell ref="J7:M8"/>
    <mergeCell ref="K9:M9"/>
    <mergeCell ref="K10:M10"/>
    <mergeCell ref="K11:M11"/>
    <mergeCell ref="I3:K3"/>
    <mergeCell ref="L5:M5"/>
    <mergeCell ref="I4:K4"/>
  </mergeCells>
  <conditionalFormatting sqref="H12 H16 H20">
    <cfRule type="containsText" priority="4" dxfId="2" operator="containsText" stopIfTrue="1" text="non">
      <formula>NOT(ISERROR(SEARCH("non",H12)))</formula>
    </cfRule>
  </conditionalFormatting>
  <conditionalFormatting sqref="L4:M6">
    <cfRule type="expression" priority="1" dxfId="3" stopIfTrue="1">
      <formula>$I$4&lt;7</formula>
    </cfRule>
  </conditionalFormatting>
  <dataValidations count="8">
    <dataValidation type="list" allowBlank="1" showInputMessage="1" showErrorMessage="1" promptTitle="Mode de jeu" prompt="Sélectionner un mode de jeu" sqref="D5">
      <formula1>mode_de_jeu</formula1>
    </dataValidation>
    <dataValidation type="list" allowBlank="1" showInputMessage="1" showErrorMessage="1" promptTitle="Catégorie" prompt="Sélectionner une catégorie dans la liste proposée" sqref="E5">
      <formula1>categorie</formula1>
    </dataValidation>
    <dataValidation type="list" allowBlank="1" showInputMessage="1" showErrorMessage="1" sqref="F5">
      <formula1>tour</formula1>
    </dataValidation>
    <dataValidation type="list" allowBlank="1" showInputMessage="1" showErrorMessage="1" sqref="H12 H16 H20">
      <formula1>forfait</formula1>
    </dataValidation>
    <dataValidation errorStyle="warning" type="list" allowBlank="1" showInputMessage="1" showErrorMessage="1" promptTitle="Identité du joueur" prompt="Sélectionner dans la liste le joueur tête de série de la poule A" errorTitle="ALARME" error="Attention le nom du joueur saisi n'appartient pas à la liste proposée." sqref="D10:D12 D14:D16 D18:D20">
      <formula1>Joueur</formula1>
    </dataValidation>
    <dataValidation errorStyle="warning" type="list" allowBlank="1" showInputMessage="1" showErrorMessage="1" promptTitle="Directeur de jeu" prompt="Sélectionner le directeur de jeu dans la liste proposée, si ce dernier est licencié FFB. Sinon saisissez manuellement ses nom et prénom." errorTitle="ALARME" error="Attention le nom du joueur saisi n'appartient pas à la liste proposée." sqref="B5">
      <formula1>Joueur</formula1>
    </dataValidation>
    <dataValidation errorStyle="warning" type="list" allowBlank="1" showInputMessage="1" showErrorMessage="1" promptTitle="LIEU DE L'EPREUVE" prompt="Sélectionner dans la liste proposée le club où se déroule la compétition" errorTitle="ATTENTION" error="Cette saisie n'appartient pas à la liste proposée !" sqref="K9:M9">
      <formula1>lieux</formula1>
    </dataValidation>
    <dataValidation type="list" allowBlank="1" showInputMessage="1" showErrorMessage="1" promptTitle="Format des billards utilisés" errorTitle="ERREUR" error="Format inconnu" sqref="E7">
      <formula1>format_billard</formula1>
    </dataValidation>
  </dataValidations>
  <hyperlinks>
    <hyperlink ref="K15:M16" location="'Phase de poule'!A1" display="Phase de Poule"/>
    <hyperlink ref="K19:M20" location="'Feuille de match'!A1" display="Feuille de Match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A26"/>
  <sheetViews>
    <sheetView showGridLines="0" showRowColHeaders="0" zoomScale="110" zoomScaleNormal="110" zoomScalePageLayoutView="0" workbookViewId="0" topLeftCell="A1">
      <selection activeCell="H25" sqref="H25:J26"/>
    </sheetView>
  </sheetViews>
  <sheetFormatPr defaultColWidth="11.5" defaultRowHeight="12.75"/>
  <cols>
    <col min="1" max="1" width="8" style="105" customWidth="1"/>
    <col min="2" max="2" width="7.16015625" style="105" customWidth="1"/>
    <col min="3" max="3" width="32" style="105" customWidth="1"/>
    <col min="4" max="5" width="12.5" style="105" customWidth="1"/>
    <col min="6" max="6" width="12" style="105" customWidth="1"/>
    <col min="7" max="8" width="12.5" style="105" customWidth="1"/>
    <col min="9" max="9" width="11.5" style="105" customWidth="1"/>
    <col min="10" max="11" width="11.5" style="100" customWidth="1"/>
    <col min="12" max="13" width="4.83203125" style="100" customWidth="1"/>
    <col min="14" max="14" width="11.5" style="100" customWidth="1"/>
    <col min="15" max="16" width="11.5" style="100" hidden="1" customWidth="1"/>
    <col min="17" max="19" width="11.5" style="105" hidden="1" customWidth="1"/>
    <col min="20" max="21" width="11.5" style="105" customWidth="1"/>
    <col min="22" max="16384" width="11.5" style="105" customWidth="1"/>
  </cols>
  <sheetData>
    <row r="1" spans="1:13" s="100" customFormat="1" ht="51.75" customHeight="1">
      <c r="A1" s="346" t="s">
        <v>495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</row>
    <row r="2" spans="1:27" ht="21.75" customHeight="1">
      <c r="A2" s="101"/>
      <c r="B2" s="100"/>
      <c r="C2" s="102"/>
      <c r="D2" s="200"/>
      <c r="E2" s="101"/>
      <c r="F2" s="102"/>
      <c r="G2" s="102"/>
      <c r="H2" s="102"/>
      <c r="I2" s="333" t="s">
        <v>531</v>
      </c>
      <c r="J2" s="333"/>
      <c r="K2" s="333"/>
      <c r="L2" s="333"/>
      <c r="M2" s="333"/>
      <c r="N2" s="333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s="107" customFormat="1" ht="39.75" customHeight="1">
      <c r="A3" s="116" t="s">
        <v>4</v>
      </c>
      <c r="B3" s="201" t="s">
        <v>494</v>
      </c>
      <c r="C3" s="116" t="s">
        <v>493</v>
      </c>
      <c r="D3" s="201" t="s">
        <v>7</v>
      </c>
      <c r="E3" s="201" t="s">
        <v>8</v>
      </c>
      <c r="F3" s="201" t="s">
        <v>9</v>
      </c>
      <c r="G3" s="201" t="s">
        <v>10</v>
      </c>
      <c r="H3" s="202" t="s">
        <v>11</v>
      </c>
      <c r="I3" s="333"/>
      <c r="J3" s="333"/>
      <c r="K3" s="333"/>
      <c r="L3" s="333"/>
      <c r="M3" s="333"/>
      <c r="N3" s="333"/>
      <c r="S3" s="203"/>
      <c r="T3" s="203"/>
      <c r="U3" s="203"/>
      <c r="V3" s="203"/>
      <c r="W3" s="203"/>
      <c r="X3" s="203"/>
      <c r="Y3" s="203"/>
      <c r="Z3" s="203"/>
      <c r="AA3" s="203"/>
    </row>
    <row r="4" spans="1:21" ht="19.5" customHeight="1">
      <c r="A4" s="339">
        <v>1</v>
      </c>
      <c r="B4" s="334" t="s">
        <v>167</v>
      </c>
      <c r="C4" s="204">
        <f>IF(Participants!D11&lt;&gt;"",Participants!D11,"")</f>
      </c>
      <c r="D4" s="123"/>
      <c r="E4" s="123"/>
      <c r="F4" s="123"/>
      <c r="G4" s="123"/>
      <c r="H4" s="110">
        <f aca="true" t="shared" si="0" ref="H4:H9">IF(E4&lt;&gt;"",D4/E4,"")</f>
      </c>
      <c r="I4" s="333"/>
      <c r="J4" s="333"/>
      <c r="K4" s="333"/>
      <c r="L4" s="333"/>
      <c r="M4" s="333"/>
      <c r="N4" s="333"/>
      <c r="P4" s="224" t="s">
        <v>525</v>
      </c>
      <c r="Q4" s="345" t="s">
        <v>526</v>
      </c>
      <c r="R4" s="345"/>
      <c r="S4" s="203"/>
      <c r="T4" s="203"/>
      <c r="U4" s="203"/>
    </row>
    <row r="5" spans="1:21" ht="19.5" customHeight="1">
      <c r="A5" s="340"/>
      <c r="B5" s="335"/>
      <c r="C5" s="205">
        <f>IF(P5=3,IF(Participants!D12&lt;&gt;"",Participants!D12,""),IF(Participants!D10&lt;&gt;"",Participants!D10,""))</f>
      </c>
      <c r="D5" s="124"/>
      <c r="E5" s="163">
        <f>IF(E4&lt;&gt;"",E4,"")</f>
      </c>
      <c r="F5" s="124"/>
      <c r="G5" s="163">
        <f>IF(G4&lt;&gt;"",2-G4,"")</f>
      </c>
      <c r="H5" s="112">
        <f>IF(AND(E5&lt;&gt;"",D5&lt;&gt;"",F5&lt;&gt;""),D5/E5,"")</f>
      </c>
      <c r="N5" s="203"/>
      <c r="O5" s="203" t="s">
        <v>522</v>
      </c>
      <c r="P5" s="203">
        <f>IF(Participants!H12&lt;&gt;"",2,3)</f>
        <v>3</v>
      </c>
      <c r="Q5" s="358">
        <f>IF(H4&gt;H5,C4,IF(H4=H5,IF(OR(F4&gt;F5,F4=F5),C4,C5),C5))</f>
      </c>
      <c r="R5" s="358"/>
      <c r="S5" s="358"/>
      <c r="T5" s="203"/>
      <c r="U5" s="203"/>
    </row>
    <row r="6" spans="1:21" ht="19.5" customHeight="1">
      <c r="A6" s="340"/>
      <c r="B6" s="334" t="s">
        <v>168</v>
      </c>
      <c r="C6" s="204">
        <f>IF(Participants!D15&lt;&gt;"",Participants!D15,"")</f>
      </c>
      <c r="D6" s="123"/>
      <c r="E6" s="123"/>
      <c r="F6" s="123"/>
      <c r="G6" s="123"/>
      <c r="H6" s="110">
        <f t="shared" si="0"/>
      </c>
      <c r="N6" s="203"/>
      <c r="O6" s="203"/>
      <c r="P6" s="203"/>
      <c r="Q6" s="107"/>
      <c r="R6" s="203"/>
      <c r="S6" s="203"/>
      <c r="T6" s="203"/>
      <c r="U6" s="203"/>
    </row>
    <row r="7" spans="1:21" ht="19.5" customHeight="1">
      <c r="A7" s="340"/>
      <c r="B7" s="335"/>
      <c r="C7" s="205">
        <f>IF(P7=3,IF(Participants!D16&lt;&gt;"",Participants!D16,""),IF(Participants!D14&lt;&gt;"",Participants!D14,""))</f>
      </c>
      <c r="D7" s="124"/>
      <c r="E7" s="163">
        <f>IF(E6&lt;&gt;"",E6,"")</f>
      </c>
      <c r="F7" s="124"/>
      <c r="G7" s="163">
        <f>IF(G6&lt;&gt;"",2-G6,"")</f>
      </c>
      <c r="H7" s="112">
        <f t="shared" si="0"/>
      </c>
      <c r="N7" s="203"/>
      <c r="O7" s="203" t="s">
        <v>523</v>
      </c>
      <c r="P7" s="203">
        <f>IF(Participants!H16&lt;&gt;"",2,3)</f>
        <v>3</v>
      </c>
      <c r="Q7" s="358">
        <f>IF(H6&gt;H7,C6,IF(H6=H7,IF(OR(F6&gt;F7,F6=F7),C6,C7),C7))</f>
      </c>
      <c r="R7" s="358"/>
      <c r="S7" s="358"/>
      <c r="T7" s="203"/>
      <c r="U7" s="203"/>
    </row>
    <row r="8" spans="1:21" ht="19.5" customHeight="1">
      <c r="A8" s="340"/>
      <c r="B8" s="334" t="s">
        <v>169</v>
      </c>
      <c r="C8" s="204">
        <f>IF(Participants!D19&lt;&gt;"",Participants!D19,"")</f>
      </c>
      <c r="D8" s="123"/>
      <c r="E8" s="123"/>
      <c r="F8" s="123"/>
      <c r="G8" s="123"/>
      <c r="H8" s="110">
        <f t="shared" si="0"/>
      </c>
      <c r="J8" s="349" t="s">
        <v>503</v>
      </c>
      <c r="K8" s="350"/>
      <c r="L8" s="351"/>
      <c r="M8" s="200"/>
      <c r="N8" s="203"/>
      <c r="O8" s="203"/>
      <c r="P8" s="203"/>
      <c r="Q8" s="107"/>
      <c r="R8" s="203"/>
      <c r="S8" s="203"/>
      <c r="T8" s="203"/>
      <c r="U8" s="203"/>
    </row>
    <row r="9" spans="1:21" ht="19.5" customHeight="1">
      <c r="A9" s="341"/>
      <c r="B9" s="335"/>
      <c r="C9" s="205">
        <f>IF(P9=3,IF(Participants!D20&lt;&gt;"",Participants!D20,""),IF(Participants!D18&lt;&gt;"",Participants!D18,""))</f>
      </c>
      <c r="D9" s="124"/>
      <c r="E9" s="163">
        <f>IF(E8&lt;&gt;"",E8,"")</f>
      </c>
      <c r="F9" s="124"/>
      <c r="G9" s="163">
        <f>IF(G8&lt;&gt;"",2-G8,"")</f>
      </c>
      <c r="H9" s="112">
        <f t="shared" si="0"/>
      </c>
      <c r="J9" s="336">
        <f>IF(Participants!B7&lt;&gt;"",Participants!B7,"")</f>
      </c>
      <c r="K9" s="337"/>
      <c r="L9" s="338"/>
      <c r="N9" s="203"/>
      <c r="O9" s="203" t="s">
        <v>524</v>
      </c>
      <c r="P9" s="203">
        <f>IF(Participants!H20&lt;&gt;"",2,3)</f>
        <v>3</v>
      </c>
      <c r="Q9" s="358">
        <f>IF(H8&gt;H9,C8,IF(H8=H9,IF(OR(F8&gt;F9,F8=F9),C8,C9),C9))</f>
      </c>
      <c r="R9" s="358"/>
      <c r="S9" s="358"/>
      <c r="T9" s="203"/>
      <c r="U9" s="203"/>
    </row>
    <row r="10" spans="4:21" ht="19.5" customHeight="1">
      <c r="D10" s="125"/>
      <c r="E10" s="125"/>
      <c r="F10" s="125"/>
      <c r="G10" s="121"/>
      <c r="J10" s="113"/>
      <c r="K10" s="114"/>
      <c r="L10" s="115"/>
      <c r="N10" s="203"/>
      <c r="O10" s="203"/>
      <c r="P10" s="203"/>
      <c r="Q10" s="107"/>
      <c r="R10" s="203"/>
      <c r="S10" s="203"/>
      <c r="T10" s="203"/>
      <c r="U10" s="203"/>
    </row>
    <row r="11" spans="1:21" ht="19.5" customHeight="1">
      <c r="A11" s="339">
        <v>2</v>
      </c>
      <c r="B11" s="334" t="s">
        <v>167</v>
      </c>
      <c r="C11" s="204">
        <f>IF(Q13=0,IF(Participants!D10&lt;&gt;"",Participants!D10,""),"")</f>
      </c>
      <c r="D11" s="123"/>
      <c r="E11" s="123"/>
      <c r="F11" s="123"/>
      <c r="G11" s="123"/>
      <c r="H11" s="110">
        <f aca="true" t="shared" si="1" ref="H11:H16">IF(E11&lt;&gt;"",D11/E11,"")</f>
      </c>
      <c r="I11" s="100"/>
      <c r="J11" s="355" t="s">
        <v>2</v>
      </c>
      <c r="K11" s="356"/>
      <c r="L11" s="357"/>
      <c r="N11" s="203"/>
      <c r="O11" s="203" t="s">
        <v>527</v>
      </c>
      <c r="P11" s="203">
        <f>SUM(P5:P9)</f>
        <v>9</v>
      </c>
      <c r="Q11" s="107"/>
      <c r="R11" s="203"/>
      <c r="S11" s="203"/>
      <c r="T11" s="203"/>
      <c r="U11" s="203"/>
    </row>
    <row r="12" spans="1:21" ht="19.5" customHeight="1">
      <c r="A12" s="340"/>
      <c r="B12" s="335"/>
      <c r="C12" s="205">
        <f>IF(Q13=0,IF(P5=2,Participants!D11,IF(Q5=Participants!D11,Participants!D12,Participants!D11)),"")</f>
      </c>
      <c r="D12" s="124"/>
      <c r="E12" s="163">
        <f>IF(E11&lt;&gt;"",E11,"")</f>
      </c>
      <c r="F12" s="124"/>
      <c r="G12" s="163">
        <f>IF(G11&lt;&gt;"",2-G11,"")</f>
      </c>
      <c r="H12" s="112">
        <f t="shared" si="1"/>
      </c>
      <c r="I12" s="100"/>
      <c r="J12" s="342" t="str">
        <f>IF(Participants!E5&lt;&gt;"",Participants!E5," ")</f>
        <v> </v>
      </c>
      <c r="K12" s="343"/>
      <c r="L12" s="344"/>
      <c r="N12" s="203"/>
      <c r="O12" s="203"/>
      <c r="P12" s="203"/>
      <c r="Q12" s="107"/>
      <c r="R12" s="203"/>
      <c r="S12" s="203"/>
      <c r="T12" s="203"/>
      <c r="U12" s="203"/>
    </row>
    <row r="13" spans="1:21" ht="19.5" customHeight="1">
      <c r="A13" s="340"/>
      <c r="B13" s="334" t="s">
        <v>168</v>
      </c>
      <c r="C13" s="204">
        <f>IF(Q15=0,IF(Participants!D14&lt;&gt;"",Participants!D14,""),"")</f>
      </c>
      <c r="D13" s="123"/>
      <c r="E13" s="123"/>
      <c r="F13" s="123"/>
      <c r="G13" s="123"/>
      <c r="H13" s="110">
        <f t="shared" si="1"/>
      </c>
      <c r="I13" s="100"/>
      <c r="J13" s="113"/>
      <c r="K13" s="114"/>
      <c r="L13" s="115"/>
      <c r="N13" s="203"/>
      <c r="O13" s="345" t="s">
        <v>528</v>
      </c>
      <c r="P13" s="345"/>
      <c r="Q13" s="107">
        <f>COUNTBLANK(D4:H5)</f>
        <v>10</v>
      </c>
      <c r="R13" s="203"/>
      <c r="S13" s="203"/>
      <c r="T13" s="203"/>
      <c r="U13" s="203"/>
    </row>
    <row r="14" spans="1:12" ht="19.5" customHeight="1">
      <c r="A14" s="340"/>
      <c r="B14" s="335"/>
      <c r="C14" s="205">
        <f>IF(Q15=0,IF(P7=2,Participants!D15,IF(Q7=Participants!D15,Participants!D16,Participants!D15)),"")</f>
      </c>
      <c r="D14" s="124"/>
      <c r="E14" s="163">
        <f>IF(E13&lt;&gt;"",E13,"")</f>
      </c>
      <c r="F14" s="124"/>
      <c r="G14" s="163">
        <f>IF(G13&lt;&gt;"",2-G13,"")</f>
      </c>
      <c r="H14" s="112">
        <f t="shared" si="1"/>
      </c>
      <c r="I14" s="100"/>
      <c r="J14" s="355" t="s">
        <v>3</v>
      </c>
      <c r="K14" s="356"/>
      <c r="L14" s="357"/>
    </row>
    <row r="15" spans="1:17" ht="19.5" customHeight="1">
      <c r="A15" s="340"/>
      <c r="B15" s="334" t="s">
        <v>169</v>
      </c>
      <c r="C15" s="204">
        <f>IF(Q17=0,IF(Participants!D18&lt;&gt;"",Participants!D18,""),"")</f>
      </c>
      <c r="D15" s="123"/>
      <c r="E15" s="123"/>
      <c r="F15" s="123"/>
      <c r="G15" s="123"/>
      <c r="H15" s="110">
        <f t="shared" si="1"/>
      </c>
      <c r="I15" s="100"/>
      <c r="J15" s="342" t="str">
        <f>IF(Participants!G5&lt;&gt;"",Participants!G5," ")</f>
        <v> </v>
      </c>
      <c r="K15" s="343"/>
      <c r="L15" s="344"/>
      <c r="O15" s="345" t="s">
        <v>529</v>
      </c>
      <c r="P15" s="345"/>
      <c r="Q15" s="107">
        <f>COUNTBLANK(D6:H7)</f>
        <v>10</v>
      </c>
    </row>
    <row r="16" spans="1:12" ht="19.5" customHeight="1">
      <c r="A16" s="341"/>
      <c r="B16" s="335"/>
      <c r="C16" s="205">
        <f>IF(Q17=0,IF(P9=2,Participants!D19,IF(Q9=Participants!D19,Participants!D20,Participants!D19)),"")</f>
      </c>
      <c r="D16" s="124"/>
      <c r="E16" s="163">
        <f>IF(E15&lt;&gt;"",E15,"")</f>
      </c>
      <c r="F16" s="124"/>
      <c r="G16" s="163">
        <f>IF(G15&lt;&gt;"",2-G15,"")</f>
      </c>
      <c r="H16" s="112">
        <f t="shared" si="1"/>
      </c>
      <c r="I16" s="100"/>
      <c r="J16" s="113"/>
      <c r="K16" s="114"/>
      <c r="L16" s="115"/>
    </row>
    <row r="17" spans="4:17" ht="19.5" customHeight="1">
      <c r="D17" s="125"/>
      <c r="E17" s="125"/>
      <c r="F17" s="126"/>
      <c r="G17" s="122"/>
      <c r="H17" s="105">
        <f>IF(E17&gt;0,D17/E17,"")</f>
      </c>
      <c r="I17" s="100"/>
      <c r="J17" s="355" t="s">
        <v>1</v>
      </c>
      <c r="K17" s="356"/>
      <c r="L17" s="357"/>
      <c r="O17" s="345" t="s">
        <v>530</v>
      </c>
      <c r="P17" s="345"/>
      <c r="Q17" s="107">
        <f>COUNTBLANK(D8:H9)</f>
        <v>10</v>
      </c>
    </row>
    <row r="18" spans="1:12" ht="19.5" customHeight="1">
      <c r="A18" s="339">
        <v>3</v>
      </c>
      <c r="B18" s="334" t="s">
        <v>167</v>
      </c>
      <c r="C18" s="204">
        <f>IF(Q13=0,IF(P5=3,IF(Participants!D10&lt;&gt;"",Participants!D10,""),""),"")</f>
      </c>
      <c r="D18" s="123"/>
      <c r="E18" s="123"/>
      <c r="F18" s="123"/>
      <c r="G18" s="123"/>
      <c r="H18" s="110">
        <f aca="true" t="shared" si="2" ref="H18:H23">IF(E18&lt;&gt;"",D18/E18,"")</f>
      </c>
      <c r="I18" s="100"/>
      <c r="J18" s="352" t="str">
        <f>IF(Participants!D5&lt;&gt;"",Participants!D5," ")</f>
        <v> </v>
      </c>
      <c r="K18" s="353"/>
      <c r="L18" s="354"/>
    </row>
    <row r="19" spans="1:9" ht="19.5" customHeight="1">
      <c r="A19" s="340"/>
      <c r="B19" s="335"/>
      <c r="C19" s="205">
        <f>IF(Q13=0,IF(P5=3,Q5,""),"")</f>
      </c>
      <c r="D19" s="124"/>
      <c r="E19" s="163">
        <f>IF(E18&lt;&gt;"",E18,"")</f>
      </c>
      <c r="F19" s="124"/>
      <c r="G19" s="163">
        <f>IF(G18&lt;&gt;"",2-G18,"")</f>
      </c>
      <c r="H19" s="112">
        <f t="shared" si="2"/>
      </c>
      <c r="I19" s="100"/>
    </row>
    <row r="20" spans="1:12" ht="19.5" customHeight="1">
      <c r="A20" s="340"/>
      <c r="B20" s="334" t="s">
        <v>168</v>
      </c>
      <c r="C20" s="204">
        <f>IF(Q15=0,IF(P7=3,IF(Participants!D14&lt;&gt;"",Participants!D14,""),""),"")</f>
      </c>
      <c r="D20" s="123"/>
      <c r="E20" s="123"/>
      <c r="F20" s="123"/>
      <c r="G20" s="123"/>
      <c r="H20" s="110">
        <f t="shared" si="2"/>
      </c>
      <c r="J20" s="330" t="s">
        <v>10</v>
      </c>
      <c r="K20" s="331"/>
      <c r="L20" s="332"/>
    </row>
    <row r="21" spans="1:12" ht="19.5" customHeight="1">
      <c r="A21" s="340"/>
      <c r="B21" s="335"/>
      <c r="C21" s="205">
        <f>IF(Q15=0,IF(P7=3,Q7,""),"")</f>
      </c>
      <c r="D21" s="124"/>
      <c r="E21" s="163">
        <f>IF(E20&lt;&gt;"",E20,"")</f>
      </c>
      <c r="F21" s="124"/>
      <c r="G21" s="163">
        <f>IF(G20&lt;&gt;"",2-G20,"")</f>
      </c>
      <c r="H21" s="112">
        <f t="shared" si="2"/>
      </c>
      <c r="J21" s="228" t="s">
        <v>538</v>
      </c>
      <c r="K21" s="229" t="s">
        <v>540</v>
      </c>
      <c r="L21" s="230"/>
    </row>
    <row r="22" spans="1:12" ht="19.5" customHeight="1">
      <c r="A22" s="340"/>
      <c r="B22" s="334" t="s">
        <v>169</v>
      </c>
      <c r="C22" s="204">
        <f>IF(Q17=0,IF(P9=3,IF(Participants!D18&lt;&gt;"",Participants!D18,""),""),"")</f>
      </c>
      <c r="D22" s="123"/>
      <c r="E22" s="123"/>
      <c r="F22" s="123"/>
      <c r="G22" s="123"/>
      <c r="H22" s="110">
        <f t="shared" si="2"/>
      </c>
      <c r="J22" s="231" t="s">
        <v>539</v>
      </c>
      <c r="K22" s="232" t="s">
        <v>542</v>
      </c>
      <c r="L22" s="233"/>
    </row>
    <row r="23" spans="1:12" ht="19.5" customHeight="1">
      <c r="A23" s="341"/>
      <c r="B23" s="335"/>
      <c r="C23" s="205">
        <f>IF(Q17=0,IF(P9=3,Q9,""),"")</f>
      </c>
      <c r="D23" s="124"/>
      <c r="E23" s="163">
        <f>IF(E22&lt;&gt;"",E22,"")</f>
      </c>
      <c r="F23" s="124"/>
      <c r="G23" s="163">
        <f>IF(G22&lt;&gt;"",2-G22,"")</f>
      </c>
      <c r="H23" s="112">
        <f t="shared" si="2"/>
      </c>
      <c r="J23" s="234" t="s">
        <v>541</v>
      </c>
      <c r="K23" s="235" t="s">
        <v>601</v>
      </c>
      <c r="L23" s="236"/>
    </row>
    <row r="24" ht="19.5" customHeight="1" thickBot="1"/>
    <row r="25" spans="4:10" ht="19.5" customHeight="1" thickTop="1">
      <c r="D25" s="305" t="s">
        <v>534</v>
      </c>
      <c r="E25" s="306"/>
      <c r="F25" s="307"/>
      <c r="H25" s="305" t="s">
        <v>101</v>
      </c>
      <c r="I25" s="306"/>
      <c r="J25" s="307"/>
    </row>
    <row r="26" spans="4:10" ht="19.5" customHeight="1" thickBot="1">
      <c r="D26" s="308"/>
      <c r="E26" s="309"/>
      <c r="F26" s="310"/>
      <c r="H26" s="308"/>
      <c r="I26" s="309"/>
      <c r="J26" s="310"/>
    </row>
    <row r="27" ht="19.5" customHeight="1" thickTop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 password="CC38" sheet="1" selectLockedCells="1"/>
  <mergeCells count="32">
    <mergeCell ref="O17:P17"/>
    <mergeCell ref="Q4:R4"/>
    <mergeCell ref="Q5:S5"/>
    <mergeCell ref="Q7:S7"/>
    <mergeCell ref="Q9:S9"/>
    <mergeCell ref="J15:L15"/>
    <mergeCell ref="J17:L17"/>
    <mergeCell ref="J11:L11"/>
    <mergeCell ref="A1:M1"/>
    <mergeCell ref="A18:A23"/>
    <mergeCell ref="B18:B19"/>
    <mergeCell ref="B20:B21"/>
    <mergeCell ref="B22:B23"/>
    <mergeCell ref="J8:L8"/>
    <mergeCell ref="J18:L18"/>
    <mergeCell ref="B4:B5"/>
    <mergeCell ref="J14:L14"/>
    <mergeCell ref="A11:A16"/>
    <mergeCell ref="A4:A9"/>
    <mergeCell ref="J12:L12"/>
    <mergeCell ref="B6:B7"/>
    <mergeCell ref="B8:B9"/>
    <mergeCell ref="O13:P13"/>
    <mergeCell ref="O15:P15"/>
    <mergeCell ref="B11:B12"/>
    <mergeCell ref="J20:L20"/>
    <mergeCell ref="I2:N4"/>
    <mergeCell ref="B15:B16"/>
    <mergeCell ref="B13:B14"/>
    <mergeCell ref="D25:F26"/>
    <mergeCell ref="H25:J26"/>
    <mergeCell ref="J9:L9"/>
  </mergeCells>
  <dataValidations count="1">
    <dataValidation errorStyle="warning" type="list" allowBlank="1" showInputMessage="1" showErrorMessage="1" promptTitle="Poule de qualification" errorTitle="ATTENTION" error="La valeur saisie n'appartient pas à la liste proposée !" sqref="G4 G11 G6 G8 G13 G15 G18 G20 G22">
      <formula1>pt_qualif</formula1>
    </dataValidation>
  </dataValidations>
  <hyperlinks>
    <hyperlink ref="D25:F26" location="Participants!A1" display="Phase de Poule"/>
    <hyperlink ref="H25:J26" location="Classement!A1" display="Classement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E5 E7 E9 E12 E14 E16 E19 E21 E23" unlockedFormula="1"/>
    <ignoredError sqref="H17 H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BG95"/>
  <sheetViews>
    <sheetView showGridLines="0" showRowColHeaders="0" zoomScale="120" zoomScaleNormal="120" zoomScalePageLayoutView="0" workbookViewId="0" topLeftCell="A1">
      <selection activeCell="L23" sqref="L23"/>
    </sheetView>
  </sheetViews>
  <sheetFormatPr defaultColWidth="11.5" defaultRowHeight="12.75"/>
  <cols>
    <col min="1" max="1" width="3.83203125" style="4" customWidth="1"/>
    <col min="2" max="2" width="3.83203125" style="99" customWidth="1"/>
    <col min="3" max="3" width="28.66015625" style="4" customWidth="1"/>
    <col min="4" max="6" width="9.33203125" style="4" customWidth="1"/>
    <col min="7" max="7" width="10" style="4" customWidth="1"/>
    <col min="8" max="9" width="9.33203125" style="4" customWidth="1"/>
    <col min="10" max="10" width="0.82421875" style="4" customWidth="1"/>
    <col min="11" max="11" width="9.33203125" style="4" customWidth="1"/>
    <col min="12" max="13" width="7" style="4" customWidth="1"/>
    <col min="14" max="14" width="34.83203125" style="4" customWidth="1"/>
    <col min="15" max="15" width="17.5" style="4" customWidth="1"/>
    <col min="16" max="16" width="10.66015625" style="4" customWidth="1"/>
    <col min="17" max="19" width="3.66015625" style="4" customWidth="1"/>
    <col min="20" max="20" width="2.66015625" style="4" customWidth="1"/>
    <col min="21" max="23" width="3.66015625" style="4" customWidth="1"/>
    <col min="24" max="24" width="2.66015625" style="4" customWidth="1"/>
    <col min="25" max="25" width="41.33203125" style="4" customWidth="1"/>
    <col min="26" max="26" width="11.5" style="4" customWidth="1"/>
    <col min="27" max="27" width="12.83203125" style="4" customWidth="1"/>
    <col min="28" max="16384" width="11.5" style="4" customWidth="1"/>
  </cols>
  <sheetData>
    <row r="1" spans="1:59" ht="24.75" customHeight="1" thickBot="1">
      <c r="A1" s="373" t="s">
        <v>58</v>
      </c>
      <c r="B1" s="373"/>
      <c r="C1" s="373"/>
      <c r="D1" s="373"/>
      <c r="E1" s="373"/>
      <c r="F1" s="373"/>
      <c r="G1" s="373"/>
      <c r="H1" s="3"/>
      <c r="I1" s="3"/>
      <c r="J1" s="3"/>
      <c r="K1" s="3"/>
      <c r="L1" s="367" t="s">
        <v>98</v>
      </c>
      <c r="M1" s="367"/>
      <c r="N1" s="15">
        <f>IF(Participants!B7&lt;&gt;"",Participants!B7,"")</f>
      </c>
      <c r="O1" s="16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18.75" customHeight="1" thickTop="1">
      <c r="A2" s="3"/>
      <c r="B2" s="165"/>
      <c r="C2" s="3"/>
      <c r="D2" s="3"/>
      <c r="E2" s="3"/>
      <c r="F2" s="363" t="s">
        <v>504</v>
      </c>
      <c r="G2" s="364"/>
      <c r="H2" s="364"/>
      <c r="I2" s="364"/>
      <c r="J2" s="166"/>
      <c r="K2" s="167"/>
      <c r="L2" s="368" t="s">
        <v>20</v>
      </c>
      <c r="M2" s="369"/>
      <c r="N2" s="15">
        <f>IF(Participants!D5&lt;&gt;"",Participants!D5,"")</f>
      </c>
      <c r="O2" s="16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8.75" customHeight="1" thickBot="1">
      <c r="A3" s="3"/>
      <c r="B3" s="165"/>
      <c r="C3" s="3"/>
      <c r="D3" s="3"/>
      <c r="E3" s="3"/>
      <c r="F3" s="365"/>
      <c r="G3" s="366"/>
      <c r="H3" s="366"/>
      <c r="I3" s="366"/>
      <c r="J3" s="168"/>
      <c r="K3" s="167"/>
      <c r="L3" s="370" t="s">
        <v>21</v>
      </c>
      <c r="M3" s="367"/>
      <c r="N3" s="15">
        <f>IF(Participants!E5&lt;&gt;"",Participants!E5,"")</f>
      </c>
      <c r="O3" s="16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8" customHeight="1" thickTop="1">
      <c r="A4" s="3"/>
      <c r="B4" s="169"/>
      <c r="C4" s="361" t="s">
        <v>44</v>
      </c>
      <c r="D4" s="361"/>
      <c r="E4" s="361"/>
      <c r="F4" s="361"/>
      <c r="G4" s="361"/>
      <c r="H4" s="361"/>
      <c r="I4" s="361"/>
      <c r="J4" s="361"/>
      <c r="K4" s="361"/>
      <c r="L4" s="367" t="s">
        <v>22</v>
      </c>
      <c r="M4" s="367"/>
      <c r="N4" s="15">
        <f>IF(Participants!G5&lt;&gt;"",Participants!G5,"")</f>
      </c>
      <c r="O4" s="164"/>
      <c r="P4" s="164"/>
      <c r="Q4" s="164"/>
      <c r="R4" s="164"/>
      <c r="S4" s="164"/>
      <c r="T4" s="164"/>
      <c r="U4" s="164"/>
      <c r="V4" s="16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26.25" customHeight="1">
      <c r="A5" s="3"/>
      <c r="B5" s="170"/>
      <c r="C5" s="278" t="s">
        <v>16</v>
      </c>
      <c r="D5" s="172" t="s">
        <v>12</v>
      </c>
      <c r="E5" s="173" t="s">
        <v>15</v>
      </c>
      <c r="F5" s="173" t="s">
        <v>13</v>
      </c>
      <c r="G5" s="174" t="s">
        <v>43</v>
      </c>
      <c r="H5" s="173" t="s">
        <v>42</v>
      </c>
      <c r="I5" s="175" t="s">
        <v>14</v>
      </c>
      <c r="J5" s="176"/>
      <c r="K5" s="177" t="s">
        <v>101</v>
      </c>
      <c r="L5" s="371" t="s">
        <v>102</v>
      </c>
      <c r="M5" s="372"/>
      <c r="N5" s="372"/>
      <c r="O5" s="16"/>
      <c r="P5" s="164"/>
      <c r="Q5" s="164"/>
      <c r="R5" s="164"/>
      <c r="S5" s="164"/>
      <c r="T5" s="164"/>
      <c r="U5" s="164"/>
      <c r="V5" s="16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14.25" customHeight="1">
      <c r="A6" s="3"/>
      <c r="B6" s="225">
        <f>K6</f>
        <v>0</v>
      </c>
      <c r="C6" s="179">
        <f>IF(Participants!D10="","",Participants!D10)</f>
      </c>
      <c r="D6" s="180">
        <f>SUM('Feuille de match'!B14:B16)</f>
        <v>0</v>
      </c>
      <c r="E6" s="180">
        <f>SUM('Feuille de match'!C14:C16)</f>
        <v>0</v>
      </c>
      <c r="F6" s="180">
        <f>MAX('Feuille de match'!D14:D16)</f>
        <v>0</v>
      </c>
      <c r="G6" s="181">
        <f>MAX('Feuille de match'!O13:Q13)</f>
        <v>0</v>
      </c>
      <c r="H6" s="181">
        <f>IF(E6&gt;0,D6/E6,0)</f>
        <v>0</v>
      </c>
      <c r="I6" s="180">
        <f>SUM('Feuille de match'!F14:F16)</f>
        <v>0</v>
      </c>
      <c r="J6" s="182"/>
      <c r="K6" s="14"/>
      <c r="L6" s="359" t="s">
        <v>104</v>
      </c>
      <c r="M6" s="360"/>
      <c r="N6" s="16">
        <f>_xlfn.IFERROR(VLOOKUP(1,$B$6:$C$8,2,FALSE),"")</f>
      </c>
      <c r="O6" s="16"/>
      <c r="P6" s="164"/>
      <c r="Q6" s="169"/>
      <c r="R6" s="169"/>
      <c r="S6" s="169"/>
      <c r="T6" s="169"/>
      <c r="U6" s="169"/>
      <c r="V6" s="169"/>
      <c r="W6" s="169"/>
      <c r="X6" s="169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4.25" customHeight="1">
      <c r="A7" s="3"/>
      <c r="B7" s="225">
        <f aca="true" t="shared" si="0" ref="B7:B31">K7</f>
        <v>0</v>
      </c>
      <c r="C7" s="179">
        <f>IF(Participants!D11="","",Participants!D11)</f>
      </c>
      <c r="D7" s="180">
        <f>SUM('Feuille de match'!B30:B32)</f>
        <v>0</v>
      </c>
      <c r="E7" s="180">
        <f>SUM('Feuille de match'!C30:C32)</f>
        <v>0</v>
      </c>
      <c r="F7" s="180">
        <f>MAX('Feuille de match'!D30:D32)</f>
        <v>0</v>
      </c>
      <c r="G7" s="181">
        <f>MAX('Feuille de match'!O29:Q29)</f>
        <v>0</v>
      </c>
      <c r="H7" s="181">
        <f>IF(E7&gt;0,D7/E7,0)</f>
        <v>0</v>
      </c>
      <c r="I7" s="180">
        <f>SUM('Feuille de match'!F30:F32)</f>
        <v>0</v>
      </c>
      <c r="J7" s="182"/>
      <c r="K7" s="14"/>
      <c r="L7" s="359" t="s">
        <v>105</v>
      </c>
      <c r="M7" s="360"/>
      <c r="N7" s="16">
        <f>_xlfn.IFERROR(VLOOKUP(2,$B$6:$C$8,2,FALSE),"")</f>
      </c>
      <c r="O7" s="16"/>
      <c r="P7" s="164"/>
      <c r="Q7" s="169"/>
      <c r="R7" s="169"/>
      <c r="S7" s="169"/>
      <c r="T7" s="169"/>
      <c r="U7" s="169"/>
      <c r="V7" s="169"/>
      <c r="W7" s="169"/>
      <c r="X7" s="169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4.25" customHeight="1">
      <c r="A8" s="3"/>
      <c r="B8" s="225">
        <f t="shared" si="0"/>
        <v>0</v>
      </c>
      <c r="C8" s="179">
        <f>IF(Participants!H12&lt;&gt;"","",IF(Participants!D12="","",Participants!D12))</f>
      </c>
      <c r="D8" s="180">
        <f>SUM('Feuille de match'!B46:B48)</f>
        <v>0</v>
      </c>
      <c r="E8" s="180">
        <f>SUM('Feuille de match'!C46:C48)</f>
        <v>0</v>
      </c>
      <c r="F8" s="180">
        <f>MAX('Feuille de match'!D46:D48)</f>
        <v>0</v>
      </c>
      <c r="G8" s="181">
        <f>MAX('Feuille de match'!O45:Q45)</f>
        <v>0</v>
      </c>
      <c r="H8" s="181">
        <f>IF(E8&gt;0,D8/E8,0)</f>
        <v>0</v>
      </c>
      <c r="I8" s="180">
        <f>SUM('Feuille de match'!F46:F48)</f>
        <v>0</v>
      </c>
      <c r="J8" s="182"/>
      <c r="K8" s="14"/>
      <c r="L8" s="359" t="s">
        <v>106</v>
      </c>
      <c r="M8" s="360"/>
      <c r="N8" s="16">
        <f>_xlfn.IFERROR(VLOOKUP(3,$B$6:$C$8,2,FALSE),"")</f>
      </c>
      <c r="O8" s="16"/>
      <c r="P8" s="164"/>
      <c r="Q8" s="169"/>
      <c r="R8" s="169"/>
      <c r="S8" s="169"/>
      <c r="T8" s="169"/>
      <c r="U8" s="169"/>
      <c r="V8" s="169"/>
      <c r="W8" s="169"/>
      <c r="X8" s="169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9" customHeight="1">
      <c r="A9" s="3"/>
      <c r="B9" s="225"/>
      <c r="C9" s="183"/>
      <c r="D9" s="183"/>
      <c r="E9" s="183"/>
      <c r="F9" s="183"/>
      <c r="G9" s="184"/>
      <c r="H9" s="183"/>
      <c r="I9" s="183"/>
      <c r="J9" s="182"/>
      <c r="K9" s="170"/>
      <c r="L9" s="16"/>
      <c r="M9" s="16"/>
      <c r="N9" s="16"/>
      <c r="O9" s="16"/>
      <c r="P9" s="164"/>
      <c r="Q9" s="169"/>
      <c r="R9" s="169"/>
      <c r="S9" s="169"/>
      <c r="T9" s="169"/>
      <c r="U9" s="169"/>
      <c r="V9" s="169"/>
      <c r="W9" s="165"/>
      <c r="X9" s="165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4.25" customHeight="1">
      <c r="A10" s="3"/>
      <c r="B10" s="225">
        <f t="shared" si="0"/>
        <v>0</v>
      </c>
      <c r="C10" s="185">
        <f>IF(Participants!D14="","",Participants!D14)</f>
      </c>
      <c r="D10" s="186">
        <f>SUM('Feuille de match'!I14:I16)</f>
        <v>0</v>
      </c>
      <c r="E10" s="186">
        <f>SUM('Feuille de match'!J14:J16)</f>
        <v>0</v>
      </c>
      <c r="F10" s="186">
        <f>MAX('Feuille de match'!K14:K16)</f>
        <v>0</v>
      </c>
      <c r="G10" s="187">
        <f>MAX('Feuille de match'!U13:W13)</f>
        <v>0</v>
      </c>
      <c r="H10" s="187">
        <f>IF(E10&gt;0,D10/E10,)</f>
        <v>0</v>
      </c>
      <c r="I10" s="186">
        <f>SUM('Feuille de match'!M14:M16)</f>
        <v>0</v>
      </c>
      <c r="J10" s="182"/>
      <c r="K10" s="14"/>
      <c r="L10" s="359" t="s">
        <v>104</v>
      </c>
      <c r="M10" s="360"/>
      <c r="N10" s="16">
        <f>_xlfn.IFERROR(VLOOKUP(1,$B$10:$C$12,2,FALSE),"")</f>
      </c>
      <c r="O10" s="16"/>
      <c r="P10" s="164"/>
      <c r="Q10" s="169"/>
      <c r="R10" s="169"/>
      <c r="S10" s="169"/>
      <c r="T10" s="169"/>
      <c r="U10" s="169"/>
      <c r="V10" s="169"/>
      <c r="W10" s="169"/>
      <c r="X10" s="169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14.25" customHeight="1">
      <c r="A11" s="3"/>
      <c r="B11" s="225">
        <f t="shared" si="0"/>
        <v>0</v>
      </c>
      <c r="C11" s="185">
        <f>IF(Participants!D15="","",Participants!D15)</f>
      </c>
      <c r="D11" s="186">
        <f>SUM('Feuille de match'!I30:I32)</f>
        <v>0</v>
      </c>
      <c r="E11" s="186">
        <f>SUM('Feuille de match'!J30:J32)</f>
        <v>0</v>
      </c>
      <c r="F11" s="186">
        <f>MAX('Feuille de match'!K30:K32)</f>
        <v>0</v>
      </c>
      <c r="G11" s="187">
        <f>MAX('Feuille de match'!U29:W29)</f>
        <v>0</v>
      </c>
      <c r="H11" s="187">
        <f>IF(E11&gt;0,D11/E11,0)</f>
        <v>0</v>
      </c>
      <c r="I11" s="186">
        <f>SUM('Feuille de match'!M30:M32)</f>
        <v>0</v>
      </c>
      <c r="J11" s="182"/>
      <c r="K11" s="14"/>
      <c r="L11" s="359" t="s">
        <v>105</v>
      </c>
      <c r="M11" s="360"/>
      <c r="N11" s="16">
        <f>_xlfn.IFERROR(VLOOKUP(2,$B$10:$C$12,2,FALSE),"")</f>
      </c>
      <c r="O11" s="16"/>
      <c r="P11" s="164"/>
      <c r="Q11" s="169"/>
      <c r="R11" s="169"/>
      <c r="S11" s="169"/>
      <c r="T11" s="169"/>
      <c r="U11" s="169"/>
      <c r="V11" s="169"/>
      <c r="W11" s="169"/>
      <c r="X11" s="169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4.25" customHeight="1">
      <c r="A12" s="3"/>
      <c r="B12" s="225">
        <f t="shared" si="0"/>
        <v>0</v>
      </c>
      <c r="C12" s="185">
        <f>IF(Participants!H16&lt;&gt;"","",IF(Participants!D16="","",Participants!D16))</f>
      </c>
      <c r="D12" s="186">
        <f>SUM('Feuille de match'!I46:I48)</f>
        <v>0</v>
      </c>
      <c r="E12" s="186">
        <f>SUM('Feuille de match'!J46:J48)</f>
        <v>0</v>
      </c>
      <c r="F12" s="186">
        <f>MAX('Feuille de match'!K46:K48)</f>
        <v>0</v>
      </c>
      <c r="G12" s="187">
        <f>MAX('Feuille de match'!U45:W45)</f>
        <v>0</v>
      </c>
      <c r="H12" s="187">
        <f>IF(E12&gt;0,D12/E12,0)</f>
        <v>0</v>
      </c>
      <c r="I12" s="186">
        <f>SUM('Feuille de match'!M46:M48)</f>
        <v>0</v>
      </c>
      <c r="J12" s="182"/>
      <c r="K12" s="14"/>
      <c r="L12" s="359" t="s">
        <v>106</v>
      </c>
      <c r="M12" s="360"/>
      <c r="N12" s="16">
        <f>_xlfn.IFERROR(VLOOKUP(3,$B$10:$C$12,2,FALSE),"")</f>
      </c>
      <c r="O12" s="16"/>
      <c r="P12" s="164"/>
      <c r="Q12" s="169"/>
      <c r="R12" s="169"/>
      <c r="S12" s="169"/>
      <c r="T12" s="169"/>
      <c r="U12" s="169"/>
      <c r="V12" s="169"/>
      <c r="W12" s="169"/>
      <c r="X12" s="169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9" customHeight="1">
      <c r="A13" s="3"/>
      <c r="B13" s="225"/>
      <c r="C13" s="183"/>
      <c r="D13" s="183"/>
      <c r="E13" s="183"/>
      <c r="F13" s="183"/>
      <c r="G13" s="184"/>
      <c r="H13" s="183"/>
      <c r="I13" s="183"/>
      <c r="J13" s="182"/>
      <c r="K13" s="170"/>
      <c r="L13" s="16"/>
      <c r="M13" s="16"/>
      <c r="N13" s="16"/>
      <c r="O13" s="16"/>
      <c r="P13" s="164"/>
      <c r="Q13" s="169"/>
      <c r="R13" s="169"/>
      <c r="S13" s="169"/>
      <c r="T13" s="169"/>
      <c r="U13" s="169"/>
      <c r="V13" s="169"/>
      <c r="W13" s="165"/>
      <c r="X13" s="165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14.25" customHeight="1">
      <c r="A14" s="3"/>
      <c r="B14" s="225">
        <f t="shared" si="0"/>
        <v>0</v>
      </c>
      <c r="C14" s="188">
        <f>IF(Participants!D18="","",Participants!D18)</f>
      </c>
      <c r="D14" s="189">
        <f>SUM('Feuille de match'!B67:B69)</f>
        <v>0</v>
      </c>
      <c r="E14" s="189">
        <f>SUM('Feuille de match'!C67:C69)</f>
        <v>0</v>
      </c>
      <c r="F14" s="189">
        <f>MAX('Feuille de match'!D67:D69)</f>
        <v>0</v>
      </c>
      <c r="G14" s="190">
        <f>MAX('Feuille de match'!O66:Q66)</f>
        <v>0</v>
      </c>
      <c r="H14" s="190">
        <f>IF(E14&gt;0,D14/E14,0)</f>
        <v>0</v>
      </c>
      <c r="I14" s="189">
        <f>SUM('Feuille de match'!F67:F69)</f>
        <v>0</v>
      </c>
      <c r="J14" s="182"/>
      <c r="K14" s="14"/>
      <c r="L14" s="359" t="s">
        <v>104</v>
      </c>
      <c r="M14" s="360"/>
      <c r="N14" s="16">
        <f>_xlfn.IFERROR(VLOOKUP(1,$B$14:$C$16,2,FALSE),"")</f>
      </c>
      <c r="O14" s="16"/>
      <c r="P14" s="164"/>
      <c r="Q14" s="169"/>
      <c r="R14" s="169"/>
      <c r="S14" s="169"/>
      <c r="T14" s="169"/>
      <c r="U14" s="169"/>
      <c r="V14" s="169"/>
      <c r="W14" s="169"/>
      <c r="X14" s="169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14.25" customHeight="1">
      <c r="A15" s="3"/>
      <c r="B15" s="225">
        <f t="shared" si="0"/>
        <v>0</v>
      </c>
      <c r="C15" s="188">
        <f>IF(Participants!D19="","",Participants!D19)</f>
      </c>
      <c r="D15" s="189">
        <f>SUM('Feuille de match'!B83:B85)</f>
        <v>0</v>
      </c>
      <c r="E15" s="189">
        <f>SUM('Feuille de match'!C83:C85)</f>
        <v>0</v>
      </c>
      <c r="F15" s="189">
        <f>MAX('Feuille de match'!D83:D85)</f>
        <v>0</v>
      </c>
      <c r="G15" s="190">
        <f>MAX('Feuille de match'!O82:Q82)</f>
        <v>0</v>
      </c>
      <c r="H15" s="190">
        <f>IF(E15&gt;0,D15/E15,0)</f>
        <v>0</v>
      </c>
      <c r="I15" s="189">
        <f>SUM('Feuille de match'!F83:F85)</f>
        <v>0</v>
      </c>
      <c r="J15" s="182"/>
      <c r="K15" s="14"/>
      <c r="L15" s="359" t="s">
        <v>105</v>
      </c>
      <c r="M15" s="360"/>
      <c r="N15" s="16">
        <f>_xlfn.IFERROR(VLOOKUP(2,$B$14:$C$16,2,FALSE),"")</f>
      </c>
      <c r="O15" s="16"/>
      <c r="P15" s="164"/>
      <c r="Q15" s="169"/>
      <c r="R15" s="169"/>
      <c r="S15" s="169"/>
      <c r="T15" s="169"/>
      <c r="U15" s="169"/>
      <c r="V15" s="169"/>
      <c r="W15" s="169"/>
      <c r="X15" s="169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14.25" customHeight="1">
      <c r="A16" s="3"/>
      <c r="B16" s="225">
        <f t="shared" si="0"/>
        <v>0</v>
      </c>
      <c r="C16" s="188">
        <f>IF(Participants!H20&lt;&gt;"","",IF(Participants!D20="","",Participants!D20))</f>
      </c>
      <c r="D16" s="189">
        <f>SUM('Feuille de match'!B99:B101)</f>
        <v>0</v>
      </c>
      <c r="E16" s="189">
        <f>SUM('Feuille de match'!C99:C101)</f>
        <v>0</v>
      </c>
      <c r="F16" s="189">
        <f>MAX('Feuille de match'!D99:D101)</f>
        <v>0</v>
      </c>
      <c r="G16" s="190">
        <f>MAX('Feuille de match'!O98:Q98)</f>
        <v>0</v>
      </c>
      <c r="H16" s="190">
        <f>IF(E16&gt;0,D16/E16,0)</f>
        <v>0</v>
      </c>
      <c r="I16" s="189">
        <f>SUM('Feuille de match'!F99:F101)</f>
        <v>0</v>
      </c>
      <c r="J16" s="182"/>
      <c r="K16" s="14"/>
      <c r="L16" s="359" t="s">
        <v>106</v>
      </c>
      <c r="M16" s="360"/>
      <c r="N16" s="16">
        <f>_xlfn.IFERROR(VLOOKUP(3,$B$14:$C$16,2,FALSE),"")</f>
      </c>
      <c r="O16" s="16"/>
      <c r="P16" s="164"/>
      <c r="Q16" s="169"/>
      <c r="R16" s="169"/>
      <c r="S16" s="169"/>
      <c r="T16" s="169"/>
      <c r="U16" s="169"/>
      <c r="V16" s="169"/>
      <c r="W16" s="169"/>
      <c r="X16" s="169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14.25" customHeight="1">
      <c r="A17" s="3"/>
      <c r="B17" s="182"/>
      <c r="C17" s="183"/>
      <c r="D17" s="170"/>
      <c r="E17" s="170"/>
      <c r="F17" s="170"/>
      <c r="G17" s="191"/>
      <c r="H17" s="170"/>
      <c r="I17" s="170"/>
      <c r="J17" s="170"/>
      <c r="K17" s="170"/>
      <c r="L17" s="16"/>
      <c r="M17" s="16"/>
      <c r="N17" s="16"/>
      <c r="O17" s="16"/>
      <c r="P17" s="164"/>
      <c r="Q17" s="169"/>
      <c r="R17" s="169"/>
      <c r="S17" s="169"/>
      <c r="T17" s="169"/>
      <c r="U17" s="169"/>
      <c r="V17" s="169"/>
      <c r="W17" s="165"/>
      <c r="X17" s="165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9" customHeight="1">
      <c r="A18" s="3"/>
      <c r="B18" s="226"/>
      <c r="C18" s="3"/>
      <c r="D18" s="3"/>
      <c r="E18" s="3"/>
      <c r="F18" s="3"/>
      <c r="G18" s="192"/>
      <c r="H18" s="3"/>
      <c r="I18" s="3"/>
      <c r="J18" s="3"/>
      <c r="K18" s="3"/>
      <c r="L18" s="193"/>
      <c r="M18" s="193"/>
      <c r="N18" s="193"/>
      <c r="O18" s="193"/>
      <c r="P18" s="164"/>
      <c r="Q18" s="169"/>
      <c r="R18" s="169"/>
      <c r="S18" s="169"/>
      <c r="T18" s="169"/>
      <c r="U18" s="169"/>
      <c r="V18" s="169"/>
      <c r="W18" s="165"/>
      <c r="X18" s="165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14.25" customHeight="1">
      <c r="A19" s="3"/>
      <c r="B19" s="227"/>
      <c r="C19" s="278" t="s">
        <v>107</v>
      </c>
      <c r="D19" s="183"/>
      <c r="E19" s="183"/>
      <c r="F19" s="183"/>
      <c r="G19" s="184"/>
      <c r="H19" s="183"/>
      <c r="I19" s="183"/>
      <c r="J19" s="183"/>
      <c r="K19" s="183"/>
      <c r="L19" s="362" t="s">
        <v>102</v>
      </c>
      <c r="M19" s="362"/>
      <c r="N19" s="362"/>
      <c r="O19" s="194"/>
      <c r="P19" s="164"/>
      <c r="Q19" s="169"/>
      <c r="R19" s="169"/>
      <c r="S19" s="169"/>
      <c r="T19" s="169"/>
      <c r="U19" s="169"/>
      <c r="V19" s="169"/>
      <c r="W19" s="165"/>
      <c r="X19" s="165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14.25" customHeight="1">
      <c r="A20" s="3"/>
      <c r="B20" s="276">
        <f t="shared" si="0"/>
        <v>0</v>
      </c>
      <c r="C20" s="179">
        <f>N6</f>
      </c>
      <c r="D20" s="195">
        <f>_xlfn.IFERROR(VLOOKUP($C$20,$C$6:$I$8,2,FALSE),0)</f>
        <v>0</v>
      </c>
      <c r="E20" s="195">
        <f>_xlfn.IFERROR(VLOOKUP($C$20,$C$6:$I$8,3,FALSE),0)</f>
        <v>0</v>
      </c>
      <c r="F20" s="195">
        <f>_xlfn.IFERROR(VLOOKUP($C$20,$C$6:$I$8,4,FALSE),0)</f>
        <v>0</v>
      </c>
      <c r="G20" s="181">
        <f>_xlfn.IFERROR(VLOOKUP($C$20,$C$6:$I$8,5,FALSE),0)</f>
        <v>0</v>
      </c>
      <c r="H20" s="181">
        <f>_xlfn.IFERROR(VLOOKUP($C$20,$C$6:$I$8,6,FALSE),0)</f>
        <v>0</v>
      </c>
      <c r="I20" s="195">
        <f>_xlfn.IFERROR(VLOOKUP($C$20,$C$6:$I$8,7,FALSE),0)</f>
        <v>0</v>
      </c>
      <c r="J20" s="183"/>
      <c r="K20" s="14"/>
      <c r="L20" s="359" t="s">
        <v>104</v>
      </c>
      <c r="M20" s="360"/>
      <c r="N20" s="16">
        <f>_xlfn.IFERROR(VLOOKUP(1,class_ap_qual,2,FALSE),"")</f>
      </c>
      <c r="O20" s="194">
        <f>IF(N20&lt;&gt;"",VLOOKUP(N20,$C$6:$J$16,8,FALSE),"")</f>
      </c>
      <c r="P20" s="164"/>
      <c r="Q20" s="169"/>
      <c r="R20" s="169"/>
      <c r="S20" s="169"/>
      <c r="T20" s="169"/>
      <c r="U20" s="169"/>
      <c r="V20" s="169"/>
      <c r="W20" s="165"/>
      <c r="X20" s="165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14.25" customHeight="1">
      <c r="A21" s="3"/>
      <c r="B21" s="277">
        <f t="shared" si="0"/>
        <v>0</v>
      </c>
      <c r="C21" s="185">
        <f>N10</f>
      </c>
      <c r="D21" s="196">
        <f>_xlfn.IFERROR(VLOOKUP($C$21,$C$10:$I$12,2,FALSE),0)</f>
        <v>0</v>
      </c>
      <c r="E21" s="196">
        <f>_xlfn.IFERROR(VLOOKUP($C$21,$C$10:$I$12,3,FALSE),0)</f>
        <v>0</v>
      </c>
      <c r="F21" s="196">
        <f>_xlfn.IFERROR(VLOOKUP($C$21,$C$10:$I$12,4,FALSE),0)</f>
        <v>0</v>
      </c>
      <c r="G21" s="207">
        <f>_xlfn.IFERROR(VLOOKUP($C$21,$C$10:$I$12,5,FALSE),0)</f>
        <v>0</v>
      </c>
      <c r="H21" s="187">
        <f>_xlfn.IFERROR(VLOOKUP($C$21,$C$10:$I$12,6,FALSE),0)</f>
        <v>0</v>
      </c>
      <c r="I21" s="196">
        <f>_xlfn.IFERROR(VLOOKUP($C$21,$C$10:$I$12,7,FALSE),0)</f>
        <v>0</v>
      </c>
      <c r="J21" s="183"/>
      <c r="K21" s="14"/>
      <c r="L21" s="359" t="s">
        <v>105</v>
      </c>
      <c r="M21" s="360"/>
      <c r="N21" s="16">
        <f>_xlfn.IFERROR(VLOOKUP(2,class_ap_qual,2,FALSE),"")</f>
      </c>
      <c r="O21" s="194">
        <f>IF(N21&lt;&gt;"",VLOOKUP(N21,$C$6:$J$16,8,FALSE),"")</f>
      </c>
      <c r="P21" s="164"/>
      <c r="Q21" s="169"/>
      <c r="R21" s="169"/>
      <c r="S21" s="169"/>
      <c r="T21" s="169"/>
      <c r="U21" s="169"/>
      <c r="V21" s="169"/>
      <c r="W21" s="165"/>
      <c r="X21" s="165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14.25" customHeight="1">
      <c r="A22" s="3"/>
      <c r="B22" s="277">
        <f t="shared" si="0"/>
        <v>0</v>
      </c>
      <c r="C22" s="188">
        <f>N14</f>
      </c>
      <c r="D22" s="189">
        <f>_xlfn.IFERROR(VLOOKUP($C$22,$C$14:$I$16,2,FALSE),0)</f>
        <v>0</v>
      </c>
      <c r="E22" s="189">
        <f>_xlfn.IFERROR(VLOOKUP($C$22,$C$14:$I$16,3,FALSE),0)</f>
        <v>0</v>
      </c>
      <c r="F22" s="189">
        <f>_xlfn.IFERROR(VLOOKUP($C$22,$C$14:$I$16,4,FALSE),0)</f>
        <v>0</v>
      </c>
      <c r="G22" s="190">
        <f>_xlfn.IFERROR(VLOOKUP($C$22,$C$14:$I$16,5,FALSE),0)</f>
        <v>0</v>
      </c>
      <c r="H22" s="190">
        <f>_xlfn.IFERROR(VLOOKUP($C$22,$C$14:$I$16,6,FALSE),0)</f>
        <v>0</v>
      </c>
      <c r="I22" s="189">
        <f>_xlfn.IFERROR(VLOOKUP($C$22,$C$14:$I$16,7,FALSE),0)</f>
        <v>0</v>
      </c>
      <c r="J22" s="183"/>
      <c r="K22" s="14"/>
      <c r="L22" s="359" t="s">
        <v>106</v>
      </c>
      <c r="M22" s="360"/>
      <c r="N22" s="16">
        <f>IF(L23=FALSE,_xlfn.IFERROR(VLOOKUP(3,class_ap_qual,2,FALSE),""),_xlfn.IFERROR(VLOOKUP(4,class_ap_qual,2,FALSE),""))</f>
      </c>
      <c r="O22" s="194">
        <f>IF(N22&lt;&gt;"",VLOOKUP(N22,$C$6:$J$16,8,FALSE),"")</f>
      </c>
      <c r="P22" s="164"/>
      <c r="Q22" s="169"/>
      <c r="R22" s="169"/>
      <c r="S22" s="169"/>
      <c r="T22" s="169"/>
      <c r="U22" s="169"/>
      <c r="V22" s="169"/>
      <c r="W22" s="165"/>
      <c r="X22" s="165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9.5" customHeight="1">
      <c r="A23" s="3"/>
      <c r="B23" s="182"/>
      <c r="C23" s="183"/>
      <c r="D23" s="183"/>
      <c r="E23" s="183"/>
      <c r="F23" s="183"/>
      <c r="G23" s="184"/>
      <c r="H23" s="183"/>
      <c r="I23" s="183"/>
      <c r="J23" s="183"/>
      <c r="K23" s="183"/>
      <c r="L23" s="279" t="b">
        <v>0</v>
      </c>
      <c r="M23" s="16"/>
      <c r="N23" s="16"/>
      <c r="O23" s="16"/>
      <c r="P23" s="164"/>
      <c r="Q23" s="169"/>
      <c r="R23" s="169"/>
      <c r="S23" s="169"/>
      <c r="T23" s="169"/>
      <c r="U23" s="169"/>
      <c r="V23" s="169"/>
      <c r="W23" s="165"/>
      <c r="X23" s="165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9" customHeight="1">
      <c r="A24" s="3"/>
      <c r="B24" s="226"/>
      <c r="C24" s="3"/>
      <c r="D24" s="169"/>
      <c r="E24" s="169"/>
      <c r="F24" s="169"/>
      <c r="G24" s="197"/>
      <c r="H24" s="169"/>
      <c r="I24" s="169"/>
      <c r="J24" s="169"/>
      <c r="K24" s="169"/>
      <c r="L24" s="193"/>
      <c r="M24" s="193"/>
      <c r="N24" s="193"/>
      <c r="O24" s="193"/>
      <c r="P24" s="164"/>
      <c r="Q24" s="169"/>
      <c r="R24" s="169"/>
      <c r="S24" s="169"/>
      <c r="T24" s="169"/>
      <c r="U24" s="169"/>
      <c r="V24" s="169"/>
      <c r="W24" s="165"/>
      <c r="X24" s="16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14.25" customHeight="1">
      <c r="A25" s="3"/>
      <c r="B25" s="227"/>
      <c r="C25" s="171" t="s">
        <v>492</v>
      </c>
      <c r="D25" s="105"/>
      <c r="E25" s="105"/>
      <c r="F25" s="105"/>
      <c r="G25" s="198"/>
      <c r="H25" s="105"/>
      <c r="I25" s="105"/>
      <c r="J25" s="105"/>
      <c r="K25" s="199"/>
      <c r="L25" s="362" t="s">
        <v>103</v>
      </c>
      <c r="M25" s="362"/>
      <c r="N25" s="362"/>
      <c r="O25" s="194"/>
      <c r="P25" s="164"/>
      <c r="Q25" s="169"/>
      <c r="R25" s="169"/>
      <c r="S25" s="169"/>
      <c r="T25" s="169"/>
      <c r="U25" s="169"/>
      <c r="V25" s="169"/>
      <c r="W25" s="165"/>
      <c r="X25" s="16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14.25" customHeight="1">
      <c r="A26" s="3"/>
      <c r="B26" s="182">
        <f t="shared" si="0"/>
        <v>0</v>
      </c>
      <c r="C26" s="179">
        <f>N7</f>
      </c>
      <c r="D26" s="180">
        <f>_xlfn.IFERROR(VLOOKUP($C$26,$C$6:$I$16,2,FALSE),0)</f>
        <v>0</v>
      </c>
      <c r="E26" s="180">
        <f>_xlfn.IFERROR(VLOOKUP($C$26,$C$6:$I$16,3,FALSE),0)</f>
        <v>0</v>
      </c>
      <c r="F26" s="180">
        <f>_xlfn.IFERROR(VLOOKUP($C$26,$C$6:$I$16,4,FALSE),0)</f>
        <v>0</v>
      </c>
      <c r="G26" s="181">
        <f>_xlfn.IFERROR(VLOOKUP($C$26,$C$6:$I$16,5,FALSE),0)</f>
        <v>0</v>
      </c>
      <c r="H26" s="181">
        <f>_xlfn.IFERROR(VLOOKUP($C$26,$C$6:$I$16,6,FALSE),0)</f>
        <v>0</v>
      </c>
      <c r="I26" s="180">
        <f>_xlfn.IFERROR(VLOOKUP($C$26,$C$6:$I$16,7,FALSE),0)</f>
        <v>0</v>
      </c>
      <c r="J26" s="170"/>
      <c r="K26" s="14"/>
      <c r="L26" s="359" t="s">
        <v>108</v>
      </c>
      <c r="M26" s="360"/>
      <c r="N26" s="16">
        <f>IF(L23=FALSE,_xlfn.IFERROR(VLOOKUP(4,class_ap_qual,2,FALSE),""),_xlfn.IFERROR(VLOOKUP(3,class_ap_qual,2,FALSE),""))</f>
      </c>
      <c r="O26" s="194">
        <f>IF(N26&lt;&gt;"",VLOOKUP(N26,$C$6:$J$16,8,FALSE),"")</f>
      </c>
      <c r="P26" s="164"/>
      <c r="Q26" s="169"/>
      <c r="R26" s="169"/>
      <c r="S26" s="169"/>
      <c r="T26" s="169"/>
      <c r="U26" s="169"/>
      <c r="V26" s="169"/>
      <c r="W26" s="165"/>
      <c r="X26" s="16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14.25" customHeight="1">
      <c r="A27" s="3"/>
      <c r="B27" s="225">
        <f t="shared" si="0"/>
        <v>0</v>
      </c>
      <c r="C27" s="185">
        <f>N11</f>
      </c>
      <c r="D27" s="186">
        <f>_xlfn.IFERROR(VLOOKUP($C$27,$C$6:$I$16,2,FALSE),0)</f>
        <v>0</v>
      </c>
      <c r="E27" s="186">
        <f>_xlfn.IFERROR(VLOOKUP($C$27,$C$6:$I$16,3,FALSE),0)</f>
        <v>0</v>
      </c>
      <c r="F27" s="186">
        <f>_xlfn.IFERROR(VLOOKUP($C$27,$C$6:$I$16,4,FALSE),0)</f>
        <v>0</v>
      </c>
      <c r="G27" s="187">
        <f>_xlfn.IFERROR(VLOOKUP($C$27,$C$6:$I$16,5,FALSE),0)</f>
        <v>0</v>
      </c>
      <c r="H27" s="187">
        <f>_xlfn.IFERROR(VLOOKUP($C$27,$C$6:$I$16,6,FALSE),0)</f>
        <v>0</v>
      </c>
      <c r="I27" s="186">
        <f>_xlfn.IFERROR(VLOOKUP($C$27,$C$6:$I$16,7,FALSE),0)</f>
        <v>0</v>
      </c>
      <c r="J27" s="170"/>
      <c r="K27" s="14"/>
      <c r="L27" s="359" t="s">
        <v>109</v>
      </c>
      <c r="M27" s="360"/>
      <c r="N27" s="16">
        <f>_xlfn.IFERROR(VLOOKUP(5,class_ap_qual,2,FALSE),"")</f>
      </c>
      <c r="O27" s="194"/>
      <c r="P27" s="164"/>
      <c r="Q27" s="169"/>
      <c r="R27" s="169"/>
      <c r="S27" s="169"/>
      <c r="T27" s="169"/>
      <c r="U27" s="169"/>
      <c r="V27" s="169"/>
      <c r="W27" s="165"/>
      <c r="X27" s="16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14.25" customHeight="1">
      <c r="A28" s="3"/>
      <c r="B28" s="225">
        <f t="shared" si="0"/>
        <v>0</v>
      </c>
      <c r="C28" s="188">
        <f>N15</f>
      </c>
      <c r="D28" s="189">
        <f>_xlfn.IFERROR(VLOOKUP($C$28,$C$6:$I$16,2,FALSE),0)</f>
        <v>0</v>
      </c>
      <c r="E28" s="189">
        <f>_xlfn.IFERROR(VLOOKUP($C$28,$C$6:$I$16,3,FALSE),0)</f>
        <v>0</v>
      </c>
      <c r="F28" s="189">
        <f>_xlfn.IFERROR(VLOOKUP($C$28,$C$6:$I$16,4,FALSE),0)</f>
        <v>0</v>
      </c>
      <c r="G28" s="190">
        <f>_xlfn.IFERROR(VLOOKUP($C$28,$C$6:$I$16,5,FALSE),0)</f>
        <v>0</v>
      </c>
      <c r="H28" s="190">
        <f>_xlfn.IFERROR(VLOOKUP($C$28,$C$6:$I$16,6,FALSE),0)</f>
        <v>0</v>
      </c>
      <c r="I28" s="189">
        <f>_xlfn.IFERROR(VLOOKUP($C$28,$C$6:$I$16,7,FALSE),0)</f>
        <v>0</v>
      </c>
      <c r="J28" s="170"/>
      <c r="K28" s="14"/>
      <c r="L28" s="359" t="s">
        <v>110</v>
      </c>
      <c r="M28" s="360"/>
      <c r="N28" s="16">
        <f>_xlfn.IFERROR(VLOOKUP(6,class_ap_qual,2,FALSE),"")</f>
      </c>
      <c r="O28" s="194"/>
      <c r="P28" s="164"/>
      <c r="Q28" s="169"/>
      <c r="R28" s="169"/>
      <c r="S28" s="169"/>
      <c r="T28" s="169"/>
      <c r="U28" s="169"/>
      <c r="V28" s="169"/>
      <c r="W28" s="165"/>
      <c r="X28" s="16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14.25" customHeight="1">
      <c r="A29" s="3"/>
      <c r="B29" s="182">
        <f t="shared" si="0"/>
        <v>0</v>
      </c>
      <c r="C29" s="179">
        <f>N8</f>
      </c>
      <c r="D29" s="180">
        <f>_xlfn.IFERROR(VLOOKUP($C$29,$C$6:$I$16,2,FALSE),0)</f>
        <v>0</v>
      </c>
      <c r="E29" s="180">
        <f>_xlfn.IFERROR(VLOOKUP($C$29,$C$6:$I$16,3,FALSE),0)</f>
        <v>0</v>
      </c>
      <c r="F29" s="180">
        <f>_xlfn.IFERROR(VLOOKUP($C$29,$C$6:$I$16,4,FALSE),0)</f>
        <v>0</v>
      </c>
      <c r="G29" s="181">
        <f>_xlfn.IFERROR(VLOOKUP($C$29,$C$6:$I$16,5,FALSE),0)</f>
        <v>0</v>
      </c>
      <c r="H29" s="181">
        <f>_xlfn.IFERROR(VLOOKUP($C$29,$C$6:$I$16,6,FALSE),0)</f>
        <v>0</v>
      </c>
      <c r="I29" s="180">
        <f>_xlfn.IFERROR(VLOOKUP($C$29,$C$6:$I$16,7,FALSE),0)</f>
        <v>0</v>
      </c>
      <c r="J29" s="170"/>
      <c r="K29" s="14"/>
      <c r="L29" s="359" t="s">
        <v>111</v>
      </c>
      <c r="M29" s="360"/>
      <c r="N29" s="16">
        <f>_xlfn.IFERROR(VLOOKUP(7,class_ap_qual,2,FALSE),"")</f>
      </c>
      <c r="O29" s="194"/>
      <c r="P29" s="164"/>
      <c r="Q29" s="169"/>
      <c r="R29" s="169"/>
      <c r="S29" s="169"/>
      <c r="T29" s="169"/>
      <c r="U29" s="169"/>
      <c r="V29" s="169"/>
      <c r="W29" s="165"/>
      <c r="X29" s="16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14.25" customHeight="1">
      <c r="A30" s="3"/>
      <c r="B30" s="225">
        <f t="shared" si="0"/>
        <v>0</v>
      </c>
      <c r="C30" s="185">
        <f>N12</f>
      </c>
      <c r="D30" s="186">
        <f>_xlfn.IFERROR(VLOOKUP($C$30,$C$6:$I$16,2,FALSE),0)</f>
        <v>0</v>
      </c>
      <c r="E30" s="186">
        <f>_xlfn.IFERROR(VLOOKUP($C$30,$C$6:$I$16,3,FALSE),0)</f>
        <v>0</v>
      </c>
      <c r="F30" s="186">
        <f>_xlfn.IFERROR(VLOOKUP($C$30,$C$6:$I$16,4,FALSE),0)</f>
        <v>0</v>
      </c>
      <c r="G30" s="187">
        <f>_xlfn.IFERROR(VLOOKUP($C$30,$C$6:$I$16,5,FALSE),0)</f>
        <v>0</v>
      </c>
      <c r="H30" s="187">
        <f>_xlfn.IFERROR(VLOOKUP($C$30,$C$6:$I$16,6,FALSE),0)</f>
        <v>0</v>
      </c>
      <c r="I30" s="186">
        <f>_xlfn.IFERROR(VLOOKUP($C$30,$C$6:$I$16,7,FALSE),0)</f>
        <v>0</v>
      </c>
      <c r="J30" s="170"/>
      <c r="K30" s="14"/>
      <c r="L30" s="359" t="s">
        <v>112</v>
      </c>
      <c r="M30" s="360"/>
      <c r="N30" s="16">
        <f>_xlfn.IFERROR(VLOOKUP(8,class_ap_qual,2,FALSE),"")</f>
      </c>
      <c r="O30" s="194"/>
      <c r="P30" s="164"/>
      <c r="Q30" s="169"/>
      <c r="R30" s="169"/>
      <c r="S30" s="169"/>
      <c r="T30" s="169"/>
      <c r="U30" s="169"/>
      <c r="V30" s="169"/>
      <c r="W30" s="165"/>
      <c r="X30" s="16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ht="14.25" customHeight="1">
      <c r="A31" s="3"/>
      <c r="B31" s="225">
        <f t="shared" si="0"/>
        <v>0</v>
      </c>
      <c r="C31" s="188">
        <f>N16</f>
      </c>
      <c r="D31" s="189">
        <f>_xlfn.IFERROR(VLOOKUP($C$31,$C$6:$I$16,2,FALSE),0)</f>
        <v>0</v>
      </c>
      <c r="E31" s="189">
        <f>_xlfn.IFERROR(VLOOKUP($C$31,$C$6:$I$16,3,FALSE),0)</f>
        <v>0</v>
      </c>
      <c r="F31" s="189">
        <f>_xlfn.IFERROR(VLOOKUP($C$31,$C$6:$I$16,4,FALSE),0)</f>
        <v>0</v>
      </c>
      <c r="G31" s="190">
        <f>_xlfn.IFERROR(VLOOKUP($C$31,$C$6:$I$16,5,FALSE),0)</f>
        <v>0</v>
      </c>
      <c r="H31" s="190">
        <f>_xlfn.IFERROR(VLOOKUP($C$31,$C$6:$I$16,6,FALSE),0)</f>
        <v>0</v>
      </c>
      <c r="I31" s="189">
        <f>_xlfn.IFERROR(VLOOKUP($C$31,$C$6:$I$16,7,FALSE),0)</f>
        <v>0</v>
      </c>
      <c r="J31" s="170"/>
      <c r="K31" s="14"/>
      <c r="L31" s="359" t="s">
        <v>113</v>
      </c>
      <c r="M31" s="360"/>
      <c r="N31" s="16">
        <f>_xlfn.IFERROR(VLOOKUP(9,class_ap_qual,2,FALSE),"")</f>
      </c>
      <c r="O31" s="194"/>
      <c r="P31" s="164"/>
      <c r="Q31" s="169"/>
      <c r="R31" s="169"/>
      <c r="S31" s="169"/>
      <c r="T31" s="169"/>
      <c r="U31" s="169"/>
      <c r="V31" s="169"/>
      <c r="W31" s="165"/>
      <c r="X31" s="16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ht="14.25" customHeight="1">
      <c r="A32" s="3"/>
      <c r="B32" s="225"/>
      <c r="C32" s="183"/>
      <c r="D32" s="183"/>
      <c r="E32" s="183"/>
      <c r="F32" s="183"/>
      <c r="G32" s="183"/>
      <c r="H32" s="183"/>
      <c r="I32" s="183"/>
      <c r="J32" s="183"/>
      <c r="K32" s="183"/>
      <c r="L32" s="178"/>
      <c r="M32" s="16"/>
      <c r="N32" s="16"/>
      <c r="O32" s="194"/>
      <c r="P32" s="164"/>
      <c r="Q32" s="169"/>
      <c r="R32" s="169"/>
      <c r="S32" s="169"/>
      <c r="T32" s="169"/>
      <c r="U32" s="169"/>
      <c r="V32" s="169"/>
      <c r="W32" s="165"/>
      <c r="X32" s="16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ht="13.5" thickBot="1">
      <c r="A33" s="3"/>
      <c r="B33" s="169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ht="13.5" customHeight="1" thickTop="1">
      <c r="A34" s="3"/>
      <c r="B34" s="169"/>
      <c r="C34" s="164"/>
      <c r="D34" s="305" t="s">
        <v>532</v>
      </c>
      <c r="E34" s="306"/>
      <c r="F34" s="307"/>
      <c r="G34" s="164"/>
      <c r="H34" s="305" t="s">
        <v>535</v>
      </c>
      <c r="I34" s="306"/>
      <c r="J34" s="306"/>
      <c r="K34" s="307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ht="13.5" customHeight="1" thickBot="1">
      <c r="A35" s="3"/>
      <c r="B35" s="169"/>
      <c r="C35" s="164"/>
      <c r="D35" s="308"/>
      <c r="E35" s="309"/>
      <c r="F35" s="310"/>
      <c r="G35" s="164"/>
      <c r="H35" s="308"/>
      <c r="I35" s="309"/>
      <c r="J35" s="309"/>
      <c r="K35" s="310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ht="13.5" thickTop="1">
      <c r="A36" s="3"/>
      <c r="B36" s="169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ht="12.75">
      <c r="A37" s="3"/>
      <c r="B37" s="169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ht="12.75">
      <c r="A38" s="3"/>
      <c r="B38" s="169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ht="12.75">
      <c r="A39" s="3"/>
      <c r="B39" s="169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ht="12.75">
      <c r="A40" s="3"/>
      <c r="B40" s="169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ht="12.75">
      <c r="A41" s="3"/>
      <c r="B41" s="169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ht="12.75">
      <c r="A42" s="3"/>
      <c r="B42" s="169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ht="12.75">
      <c r="A43" s="3"/>
      <c r="B43" s="169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12.75">
      <c r="A44" s="3"/>
      <c r="B44" s="169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ht="12.75">
      <c r="A45" s="3"/>
      <c r="B45" s="169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2.75">
      <c r="A46" s="3"/>
      <c r="B46" s="169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ht="12.75">
      <c r="A47" s="3"/>
      <c r="B47" s="169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ht="12.75">
      <c r="A48" s="3"/>
      <c r="B48" s="169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ht="12.75">
      <c r="A49" s="3"/>
      <c r="B49" s="169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ht="12.75">
      <c r="A50" s="3"/>
      <c r="B50" s="169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ht="12.75">
      <c r="A51" s="3"/>
      <c r="B51" s="169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ht="12.75">
      <c r="A52" s="3"/>
      <c r="B52" s="169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ht="12.75">
      <c r="A53" s="3"/>
      <c r="B53" s="169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ht="12.75">
      <c r="A54" s="3"/>
      <c r="B54" s="169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ht="12.75">
      <c r="A55" s="3"/>
      <c r="B55" s="169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ht="12.75">
      <c r="A56" s="3"/>
      <c r="B56" s="169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ht="12.75">
      <c r="A57" s="3"/>
      <c r="B57" s="169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ht="12.75">
      <c r="A58" s="3"/>
      <c r="B58" s="169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ht="12.75">
      <c r="A59" s="3"/>
      <c r="B59" s="169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ht="12.75">
      <c r="A60" s="3"/>
      <c r="B60" s="169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ht="12.75">
      <c r="A61" s="3"/>
      <c r="B61" s="169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ht="12.75">
      <c r="A62" s="3"/>
      <c r="B62" s="169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ht="12.75">
      <c r="A63" s="3"/>
      <c r="B63" s="169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ht="12.75">
      <c r="A64" s="3"/>
      <c r="B64" s="169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ht="12.75">
      <c r="A65" s="3"/>
      <c r="B65" s="169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ht="12.75">
      <c r="A66" s="3"/>
      <c r="B66" s="169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ht="12.75">
      <c r="A67" s="3"/>
      <c r="B67" s="169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ht="12.75">
      <c r="A68" s="3"/>
      <c r="B68" s="169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ht="12.75">
      <c r="A69" s="3"/>
      <c r="B69" s="169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ht="12.75">
      <c r="A70" s="3"/>
      <c r="B70" s="169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ht="12.75">
      <c r="A71" s="3"/>
      <c r="B71" s="169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ht="12.75">
      <c r="A72" s="3"/>
      <c r="B72" s="169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ht="12.75">
      <c r="A73" s="3"/>
      <c r="B73" s="169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ht="12.75">
      <c r="A74" s="3"/>
      <c r="B74" s="169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ht="12.75">
      <c r="A75" s="3"/>
      <c r="B75" s="169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ht="12.75">
      <c r="A76" s="3"/>
      <c r="B76" s="169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ht="12.75">
      <c r="A77" s="3"/>
      <c r="B77" s="169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ht="12.75">
      <c r="A78" s="3"/>
      <c r="B78" s="169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ht="12.75">
      <c r="A79" s="3"/>
      <c r="B79" s="169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12.75">
      <c r="A80" s="3"/>
      <c r="B80" s="169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12.75">
      <c r="A81" s="3"/>
      <c r="B81" s="169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ht="12.75">
      <c r="A82" s="3"/>
      <c r="B82" s="169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ht="12.75">
      <c r="A83" s="3"/>
      <c r="B83" s="169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ht="12.75">
      <c r="A84" s="3"/>
      <c r="B84" s="169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ht="12.75">
      <c r="A85" s="3"/>
      <c r="B85" s="169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2.75">
      <c r="A86" s="3"/>
      <c r="B86" s="169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2.75">
      <c r="A87" s="3"/>
      <c r="B87" s="169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2.75">
      <c r="A88" s="3"/>
      <c r="B88" s="169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2.75">
      <c r="A89" s="3"/>
      <c r="B89" s="169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2.75">
      <c r="A90" s="3"/>
      <c r="B90" s="169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ht="12.75">
      <c r="A91" s="3"/>
      <c r="B91" s="169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ht="12.75">
      <c r="A92" s="3"/>
      <c r="B92" s="169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ht="12.75">
      <c r="A93" s="3"/>
      <c r="B93" s="169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ht="12.75">
      <c r="A94" s="3"/>
      <c r="B94" s="169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ht="12.75">
      <c r="A95" s="3"/>
      <c r="B95" s="169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</sheetData>
  <sheetProtection password="CC38" sheet="1" selectLockedCells="1"/>
  <mergeCells count="30">
    <mergeCell ref="F2:I3"/>
    <mergeCell ref="L20:M20"/>
    <mergeCell ref="L1:M1"/>
    <mergeCell ref="L2:M2"/>
    <mergeCell ref="L3:M3"/>
    <mergeCell ref="L4:M4"/>
    <mergeCell ref="L15:M15"/>
    <mergeCell ref="L16:M16"/>
    <mergeCell ref="L5:N5"/>
    <mergeCell ref="A1:G1"/>
    <mergeCell ref="L26:M26"/>
    <mergeCell ref="L22:M22"/>
    <mergeCell ref="C4:K4"/>
    <mergeCell ref="L30:M30"/>
    <mergeCell ref="L27:M27"/>
    <mergeCell ref="L28:M28"/>
    <mergeCell ref="L12:M12"/>
    <mergeCell ref="L14:M14"/>
    <mergeCell ref="L19:N19"/>
    <mergeCell ref="L25:N25"/>
    <mergeCell ref="D34:F35"/>
    <mergeCell ref="H34:K35"/>
    <mergeCell ref="L31:M31"/>
    <mergeCell ref="L29:M29"/>
    <mergeCell ref="L6:M6"/>
    <mergeCell ref="L7:M7"/>
    <mergeCell ref="L8:M8"/>
    <mergeCell ref="L10:M10"/>
    <mergeCell ref="L11:M11"/>
    <mergeCell ref="L21:M21"/>
  </mergeCells>
  <hyperlinks>
    <hyperlink ref="D34:F35" location="'Phase de poule'!A1" display="Phase de Poule"/>
    <hyperlink ref="H34:J35" location="'Phase de poule'!A1" display="Phase de Poule"/>
    <hyperlink ref="H34:K35" location="'Phase finale'!A1" display="Phase Finale"/>
  </hyperlinks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B6 B7:B16 B20:B22 B26:B31" unlockedFormula="1"/>
    <ignoredError sqref="O26" evalError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AA31"/>
  <sheetViews>
    <sheetView showGridLines="0" showRowColHeaders="0" zoomScale="120" zoomScaleNormal="120" zoomScalePageLayoutView="0" workbookViewId="0" topLeftCell="A1">
      <selection activeCell="H4" sqref="H4"/>
    </sheetView>
  </sheetViews>
  <sheetFormatPr defaultColWidth="11.5" defaultRowHeight="12.75"/>
  <cols>
    <col min="1" max="1" width="8" style="105" customWidth="1"/>
    <col min="2" max="2" width="7.16015625" style="105" customWidth="1"/>
    <col min="3" max="3" width="32" style="105" customWidth="1"/>
    <col min="4" max="4" width="32" style="105" hidden="1" customWidth="1"/>
    <col min="5" max="6" width="12.5" style="105" customWidth="1"/>
    <col min="7" max="7" width="12" style="105" customWidth="1"/>
    <col min="8" max="9" width="12.5" style="105" customWidth="1"/>
    <col min="10" max="10" width="11.5" style="105" customWidth="1"/>
    <col min="11" max="12" width="11.5" style="100" customWidth="1"/>
    <col min="13" max="14" width="4.83203125" style="100" customWidth="1"/>
    <col min="15" max="16" width="11.5" style="100" customWidth="1"/>
    <col min="17" max="16384" width="11.5" style="105" customWidth="1"/>
  </cols>
  <sheetData>
    <row r="1" spans="1:14" s="100" customFormat="1" ht="51.75" customHeight="1">
      <c r="A1" s="346" t="s">
        <v>496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8"/>
    </row>
    <row r="2" spans="1:27" ht="21.75" customHeight="1">
      <c r="A2" s="101"/>
      <c r="B2" s="100"/>
      <c r="C2" s="102"/>
      <c r="D2" s="102"/>
      <c r="E2" s="103"/>
      <c r="F2" s="101"/>
      <c r="G2" s="102"/>
      <c r="H2" s="102"/>
      <c r="I2" s="102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s="107" customFormat="1" ht="39.75" customHeight="1">
      <c r="A3" s="390"/>
      <c r="B3" s="390"/>
      <c r="C3" s="223" t="s">
        <v>493</v>
      </c>
      <c r="D3" s="116"/>
      <c r="E3" s="117" t="s">
        <v>7</v>
      </c>
      <c r="F3" s="117" t="s">
        <v>8</v>
      </c>
      <c r="G3" s="117" t="s">
        <v>9</v>
      </c>
      <c r="H3" s="117" t="s">
        <v>10</v>
      </c>
      <c r="I3" s="118" t="s">
        <v>11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7" ht="24.75" customHeight="1">
      <c r="A4" s="382" t="s">
        <v>497</v>
      </c>
      <c r="B4" s="385" t="s">
        <v>167</v>
      </c>
      <c r="C4" s="109">
        <f>Classement!N20</f>
      </c>
      <c r="D4" s="109">
        <f>C5</f>
      </c>
      <c r="E4" s="123"/>
      <c r="F4" s="123"/>
      <c r="G4" s="123"/>
      <c r="H4" s="123"/>
      <c r="I4" s="110">
        <f>IF(F4&lt;&gt;"",E4/F4,"")</f>
      </c>
      <c r="J4" s="108"/>
      <c r="K4" s="104"/>
      <c r="L4" s="104"/>
      <c r="M4" s="104"/>
      <c r="N4" s="104"/>
      <c r="O4" s="104"/>
      <c r="P4" s="104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</row>
    <row r="5" spans="1:27" ht="24.75" customHeight="1">
      <c r="A5" s="383"/>
      <c r="B5" s="386"/>
      <c r="C5" s="111">
        <f>Classement!N26</f>
      </c>
      <c r="D5" s="111">
        <f>C4</f>
      </c>
      <c r="E5" s="124"/>
      <c r="F5" s="163">
        <f>IF(F4&lt;&gt;"",F4,"")</f>
      </c>
      <c r="G5" s="124"/>
      <c r="H5" s="163">
        <f>IF(H4&lt;&gt;"",2-H4,"")</f>
      </c>
      <c r="I5" s="112">
        <f>IF(AND(F5&lt;&gt;"",E5&lt;&gt;"",G5&lt;&gt;""),E5/F5,"")</f>
      </c>
      <c r="J5" s="108"/>
      <c r="K5" s="349" t="s">
        <v>503</v>
      </c>
      <c r="L5" s="350"/>
      <c r="M5" s="351"/>
      <c r="N5" s="104"/>
      <c r="O5" s="104"/>
      <c r="P5" s="104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</row>
    <row r="6" spans="1:27" ht="24.75" customHeight="1">
      <c r="A6" s="383"/>
      <c r="B6" s="387" t="s">
        <v>168</v>
      </c>
      <c r="C6" s="109">
        <f>Classement!N21</f>
      </c>
      <c r="D6" s="109">
        <f>C7</f>
      </c>
      <c r="E6" s="123"/>
      <c r="F6" s="123"/>
      <c r="G6" s="123"/>
      <c r="H6" s="123"/>
      <c r="I6" s="110">
        <f>IF(F6&lt;&gt;"",E6/F6,"")</f>
      </c>
      <c r="J6" s="108"/>
      <c r="K6" s="336">
        <f>IF(Participants!B7&lt;&gt;"",Participants!B7,"")</f>
      </c>
      <c r="L6" s="337"/>
      <c r="M6" s="338"/>
      <c r="N6" s="104"/>
      <c r="O6" s="104"/>
      <c r="P6" s="104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</row>
    <row r="7" spans="1:27" ht="24.75" customHeight="1">
      <c r="A7" s="384"/>
      <c r="B7" s="388"/>
      <c r="C7" s="111">
        <f>Classement!N22</f>
      </c>
      <c r="D7" s="111">
        <f>C6</f>
      </c>
      <c r="E7" s="124"/>
      <c r="F7" s="163">
        <f>IF(F6&lt;&gt;"",F6,"")</f>
      </c>
      <c r="G7" s="124"/>
      <c r="H7" s="163">
        <f>IF(H6&lt;&gt;"",2-H6,"")</f>
      </c>
      <c r="I7" s="112">
        <f>IF(F7&lt;&gt;"",E7/F7,"")</f>
      </c>
      <c r="J7" s="108"/>
      <c r="K7" s="355" t="s">
        <v>2</v>
      </c>
      <c r="L7" s="356"/>
      <c r="M7" s="357"/>
      <c r="N7" s="104"/>
      <c r="O7" s="104"/>
      <c r="P7" s="104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</row>
    <row r="8" spans="1:27" ht="24.75" customHeight="1">
      <c r="A8" s="374" t="s">
        <v>498</v>
      </c>
      <c r="B8" s="389" t="s">
        <v>500</v>
      </c>
      <c r="C8" s="109">
        <f>IF(Classement!N30&lt;&gt;"",Classement!N29,"")</f>
      </c>
      <c r="D8" s="109">
        <f>C9</f>
      </c>
      <c r="E8" s="123"/>
      <c r="F8" s="123"/>
      <c r="G8" s="123"/>
      <c r="H8" s="123"/>
      <c r="I8" s="110">
        <f>IF(F8&lt;&gt;"",E8/F8,"")</f>
      </c>
      <c r="J8" s="108"/>
      <c r="K8" s="342" t="str">
        <f>IF(Participants!E5&lt;&gt;"",Participants!E5," ")</f>
        <v> </v>
      </c>
      <c r="L8" s="343"/>
      <c r="M8" s="344"/>
      <c r="N8" s="103"/>
      <c r="O8" s="104"/>
      <c r="P8" s="104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</row>
    <row r="9" spans="1:13" ht="24.75" customHeight="1">
      <c r="A9" s="375"/>
      <c r="B9" s="377"/>
      <c r="C9" s="111">
        <f>Classement!N30</f>
      </c>
      <c r="D9" s="111">
        <f>C8</f>
      </c>
      <c r="E9" s="124"/>
      <c r="F9" s="163">
        <f>IF(F8&lt;&gt;"",F8,"")</f>
      </c>
      <c r="G9" s="124"/>
      <c r="H9" s="163">
        <f>IF(H8&lt;&gt;"",2-H8,"")</f>
      </c>
      <c r="I9" s="112">
        <f>IF(F9&lt;&gt;"",E9/F9,"")</f>
      </c>
      <c r="K9" s="355" t="s">
        <v>3</v>
      </c>
      <c r="L9" s="356"/>
      <c r="M9" s="357"/>
    </row>
    <row r="10" spans="11:18" ht="24.75" customHeight="1">
      <c r="K10" s="342" t="str">
        <f>IF(Participants!G5&lt;&gt;"",Participants!G5," ")</f>
        <v> </v>
      </c>
      <c r="L10" s="343"/>
      <c r="M10" s="344"/>
      <c r="O10" s="104"/>
      <c r="P10" s="104"/>
      <c r="Q10" s="108"/>
      <c r="R10" s="108"/>
    </row>
    <row r="11" spans="1:13" ht="24.75" customHeight="1">
      <c r="A11" s="382" t="s">
        <v>115</v>
      </c>
      <c r="B11" s="378" t="s">
        <v>499</v>
      </c>
      <c r="C11" s="109">
        <f>IF(AND(H4&lt;&gt;"",H5&lt;&gt;""),IF(H4&gt;H5,C4,C5),"")</f>
      </c>
      <c r="D11" s="109">
        <f>C12</f>
      </c>
      <c r="E11" s="123"/>
      <c r="F11" s="123"/>
      <c r="G11" s="123"/>
      <c r="H11" s="123"/>
      <c r="I11" s="110">
        <f aca="true" t="shared" si="0" ref="I11:I16">IF(F11&lt;&gt;"",E11/F11,"")</f>
      </c>
      <c r="J11" s="100"/>
      <c r="K11" s="355" t="s">
        <v>1</v>
      </c>
      <c r="L11" s="356"/>
      <c r="M11" s="357"/>
    </row>
    <row r="12" spans="1:13" ht="24.75" customHeight="1">
      <c r="A12" s="383"/>
      <c r="B12" s="379"/>
      <c r="C12" s="111">
        <f>IF(AND(H6&lt;&gt;"",H7&lt;&gt;""),IF(H6&gt;H7,C6,C7),"")</f>
      </c>
      <c r="D12" s="111">
        <f>C11</f>
      </c>
      <c r="E12" s="124"/>
      <c r="F12" s="163">
        <f>IF(F11&lt;&gt;"",F11,"")</f>
      </c>
      <c r="G12" s="124"/>
      <c r="H12" s="163">
        <f>IF(H11&lt;&gt;"",2-H11,"")</f>
      </c>
      <c r="I12" s="112">
        <f t="shared" si="0"/>
      </c>
      <c r="J12" s="100"/>
      <c r="K12" s="352" t="str">
        <f>IF(Participants!D5&lt;&gt;"",Participants!D5," ")</f>
        <v> </v>
      </c>
      <c r="L12" s="353"/>
      <c r="M12" s="354"/>
    </row>
    <row r="13" spans="1:10" ht="24.75" customHeight="1">
      <c r="A13" s="383"/>
      <c r="B13" s="380" t="s">
        <v>501</v>
      </c>
      <c r="C13" s="109">
        <f>IF(AND(H4&lt;&gt;"",H5&lt;&gt;""),IF(H4&gt;H5,C5,C4),"")</f>
      </c>
      <c r="D13" s="109">
        <f>C14</f>
      </c>
      <c r="E13" s="123"/>
      <c r="F13" s="123"/>
      <c r="G13" s="123"/>
      <c r="H13" s="123"/>
      <c r="I13" s="110">
        <f t="shared" si="0"/>
      </c>
      <c r="J13" s="100"/>
    </row>
    <row r="14" spans="1:13" ht="24.75" customHeight="1">
      <c r="A14" s="384"/>
      <c r="B14" s="381"/>
      <c r="C14" s="111">
        <f>IF(AND(H6&lt;&gt;"",H7&lt;&gt;""),IF(H6&lt;H7,C6,C7),"")</f>
      </c>
      <c r="D14" s="111">
        <f>C13</f>
      </c>
      <c r="E14" s="124"/>
      <c r="F14" s="163">
        <f>IF(F13&lt;&gt;"",F13,"")</f>
      </c>
      <c r="G14" s="124"/>
      <c r="H14" s="163">
        <f>IF(H13&lt;&gt;"",2-H13,"")</f>
      </c>
      <c r="I14" s="112">
        <f t="shared" si="0"/>
      </c>
      <c r="J14" s="100"/>
      <c r="K14" s="330" t="s">
        <v>10</v>
      </c>
      <c r="L14" s="331"/>
      <c r="M14" s="332"/>
    </row>
    <row r="15" spans="1:13" ht="24.75" customHeight="1">
      <c r="A15" s="374" t="s">
        <v>498</v>
      </c>
      <c r="B15" s="376" t="s">
        <v>502</v>
      </c>
      <c r="C15" s="109">
        <f>Classement!N27</f>
      </c>
      <c r="D15" s="109">
        <f>C16</f>
      </c>
      <c r="E15" s="123"/>
      <c r="F15" s="123"/>
      <c r="G15" s="123"/>
      <c r="H15" s="123"/>
      <c r="I15" s="110">
        <f t="shared" si="0"/>
      </c>
      <c r="J15" s="100"/>
      <c r="K15" s="228" t="s">
        <v>538</v>
      </c>
      <c r="L15" s="229" t="s">
        <v>540</v>
      </c>
      <c r="M15" s="230"/>
    </row>
    <row r="16" spans="1:27" s="100" customFormat="1" ht="24.75" customHeight="1">
      <c r="A16" s="375"/>
      <c r="B16" s="377"/>
      <c r="C16" s="111">
        <f>Classement!N28</f>
      </c>
      <c r="D16" s="111">
        <f>C15</f>
      </c>
      <c r="E16" s="124"/>
      <c r="F16" s="163">
        <f>IF(F15&lt;&gt;"",F15,"")</f>
      </c>
      <c r="G16" s="124"/>
      <c r="H16" s="163">
        <f>IF(H15&lt;&gt;"",2-H15,"")</f>
      </c>
      <c r="I16" s="112">
        <f t="shared" si="0"/>
      </c>
      <c r="K16" s="234" t="s">
        <v>541</v>
      </c>
      <c r="L16" s="235" t="s">
        <v>601</v>
      </c>
      <c r="M16" s="236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</row>
    <row r="17" spans="1:27" s="100" customFormat="1" ht="19.5" customHeight="1" thickBot="1">
      <c r="A17" s="105"/>
      <c r="B17" s="105"/>
      <c r="C17" s="105"/>
      <c r="D17" s="105"/>
      <c r="E17" s="105"/>
      <c r="F17" s="105"/>
      <c r="G17" s="105"/>
      <c r="H17" s="105"/>
      <c r="I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</row>
    <row r="18" spans="1:27" s="100" customFormat="1" ht="19.5" customHeight="1" thickTop="1">
      <c r="A18" s="105"/>
      <c r="B18" s="105"/>
      <c r="C18" s="105"/>
      <c r="D18" s="105"/>
      <c r="E18" s="305" t="s">
        <v>101</v>
      </c>
      <c r="F18" s="306"/>
      <c r="G18" s="307"/>
      <c r="H18" s="105"/>
      <c r="I18" s="305" t="s">
        <v>533</v>
      </c>
      <c r="J18" s="306"/>
      <c r="K18" s="307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</row>
    <row r="19" spans="1:27" s="100" customFormat="1" ht="19.5" customHeight="1" thickBot="1">
      <c r="A19" s="105"/>
      <c r="B19" s="105"/>
      <c r="C19" s="105"/>
      <c r="D19" s="105"/>
      <c r="E19" s="308"/>
      <c r="F19" s="309"/>
      <c r="G19" s="310"/>
      <c r="H19" s="105"/>
      <c r="I19" s="308"/>
      <c r="J19" s="309"/>
      <c r="K19" s="310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</row>
    <row r="20" spans="1:27" s="100" customFormat="1" ht="19.5" customHeight="1" thickTop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</row>
    <row r="21" spans="1:27" s="100" customFormat="1" ht="19.5" customHeight="1">
      <c r="A21" s="105"/>
      <c r="B21" s="105"/>
      <c r="C21" s="105"/>
      <c r="D21" s="105"/>
      <c r="E21" s="105"/>
      <c r="F21" s="105"/>
      <c r="G21" s="105"/>
      <c r="H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</row>
    <row r="22" spans="1:27" s="100" customFormat="1" ht="19.5" customHeight="1">
      <c r="A22" s="105"/>
      <c r="B22" s="105"/>
      <c r="C22" s="105"/>
      <c r="D22" s="105"/>
      <c r="E22" s="105"/>
      <c r="F22" s="105"/>
      <c r="G22" s="105"/>
      <c r="H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</row>
    <row r="23" spans="1:27" s="100" customFormat="1" ht="19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</row>
    <row r="24" spans="1:27" s="100" customFormat="1" ht="19.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</row>
    <row r="25" spans="1:27" s="100" customFormat="1" ht="19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</row>
    <row r="26" spans="1:27" s="100" customFormat="1" ht="19.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  <row r="27" spans="1:27" s="100" customFormat="1" ht="19.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</row>
    <row r="28" spans="1:27" s="100" customFormat="1" ht="19.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1:27" s="100" customFormat="1" ht="19.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</row>
    <row r="30" spans="1:27" s="100" customFormat="1" ht="19.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</row>
    <row r="31" spans="1:27" s="100" customFormat="1" ht="19.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</row>
    <row r="32" ht="19.5" customHeight="1"/>
    <row r="33" ht="19.5" customHeight="1"/>
  </sheetData>
  <sheetProtection password="CC38" sheet="1" selectLockedCells="1"/>
  <mergeCells count="23">
    <mergeCell ref="A1:N1"/>
    <mergeCell ref="B4:B5"/>
    <mergeCell ref="B6:B7"/>
    <mergeCell ref="B8:B9"/>
    <mergeCell ref="K8:M8"/>
    <mergeCell ref="A4:A7"/>
    <mergeCell ref="A8:A9"/>
    <mergeCell ref="K5:M5"/>
    <mergeCell ref="A3:B3"/>
    <mergeCell ref="A15:A16"/>
    <mergeCell ref="B15:B16"/>
    <mergeCell ref="B11:B12"/>
    <mergeCell ref="K10:M10"/>
    <mergeCell ref="B13:B14"/>
    <mergeCell ref="K12:M12"/>
    <mergeCell ref="A11:A14"/>
    <mergeCell ref="K14:M14"/>
    <mergeCell ref="I18:K19"/>
    <mergeCell ref="E18:G19"/>
    <mergeCell ref="K6:M6"/>
    <mergeCell ref="K7:M7"/>
    <mergeCell ref="K9:M9"/>
    <mergeCell ref="K11:M11"/>
  </mergeCells>
  <dataValidations count="1">
    <dataValidation errorStyle="warning" type="list" allowBlank="1" showInputMessage="1" showErrorMessage="1" promptTitle="Poule de qualification" errorTitle="ATTENTION" error="La valeur saisie n'appartient pas à la liste proposée !" sqref="H4 H8 H6 H11 H15 H13">
      <formula1>pt_final</formula1>
    </dataValidation>
  </dataValidations>
  <hyperlinks>
    <hyperlink ref="I18:K19" location="'Feuille de match'!A1" display="Feuille de Match"/>
    <hyperlink ref="E18:G19" location="Classement!A1" display="Classement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F5 F9 F12 F14 F1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Z325"/>
  <sheetViews>
    <sheetView showGridLines="0" showRowColHeaders="0" zoomScale="110" zoomScaleNormal="110" zoomScalePageLayoutView="0" workbookViewId="0" topLeftCell="A1">
      <selection activeCell="AD16" sqref="AD16"/>
    </sheetView>
  </sheetViews>
  <sheetFormatPr defaultColWidth="12" defaultRowHeight="12.75"/>
  <cols>
    <col min="1" max="1" width="20.33203125" style="157" customWidth="1"/>
    <col min="2" max="3" width="6.33203125" style="157" customWidth="1"/>
    <col min="4" max="4" width="5" style="157" customWidth="1"/>
    <col min="5" max="5" width="8.66015625" style="157" customWidth="1"/>
    <col min="6" max="6" width="7.33203125" style="157" customWidth="1"/>
    <col min="7" max="7" width="2.5" style="157" customWidth="1"/>
    <col min="8" max="8" width="20.33203125" style="157" customWidth="1"/>
    <col min="9" max="10" width="6.33203125" style="157" customWidth="1"/>
    <col min="11" max="11" width="5.16015625" style="157" customWidth="1"/>
    <col min="12" max="12" width="8.66015625" style="157" customWidth="1"/>
    <col min="13" max="13" width="7.5" style="157" customWidth="1"/>
    <col min="14" max="14" width="12" style="4" hidden="1" customWidth="1"/>
    <col min="15" max="24" width="8.33203125" style="4" hidden="1" customWidth="1"/>
    <col min="25" max="26" width="6.16015625" style="4" hidden="1" customWidth="1"/>
    <col min="27" max="28" width="6.16015625" style="4" customWidth="1"/>
    <col min="29" max="32" width="12" style="157" customWidth="1"/>
    <col min="33" max="16384" width="12" style="157" customWidth="1"/>
  </cols>
  <sheetData>
    <row r="1" spans="1:13" ht="33" customHeight="1">
      <c r="A1" s="406" t="s">
        <v>17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8"/>
    </row>
    <row r="2" spans="1:13" ht="23.25" customHeight="1" thickBot="1">
      <c r="A2" s="409" t="s">
        <v>18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</row>
    <row r="3" spans="1:13" ht="6" customHeight="1">
      <c r="A3" s="23"/>
      <c r="B3" s="23"/>
      <c r="C3" s="23"/>
      <c r="D3" s="23"/>
      <c r="E3" s="23"/>
      <c r="F3" s="23"/>
      <c r="G3" s="23"/>
      <c r="H3" s="24"/>
      <c r="I3" s="25"/>
      <c r="J3" s="23"/>
      <c r="K3" s="26"/>
      <c r="L3" s="26"/>
      <c r="M3" s="26"/>
    </row>
    <row r="4" spans="1:13" ht="15.75" customHeight="1">
      <c r="A4" s="27" t="s">
        <v>19</v>
      </c>
      <c r="B4" s="415" t="str">
        <f>IF(Participants!K9&lt;&gt;"",Participants!K9," ")</f>
        <v> </v>
      </c>
      <c r="C4" s="415"/>
      <c r="D4" s="415"/>
      <c r="E4" s="415"/>
      <c r="F4" s="415"/>
      <c r="G4" s="28"/>
      <c r="H4" s="27" t="s">
        <v>20</v>
      </c>
      <c r="I4" s="405">
        <f>IF(Participants!D5="","",Participants!D5)</f>
      </c>
      <c r="J4" s="405"/>
      <c r="K4" s="405"/>
      <c r="L4" s="27" t="s">
        <v>96</v>
      </c>
      <c r="M4" s="127">
        <f>IF(Participants!F5="","",Participants!F5)</f>
      </c>
    </row>
    <row r="5" spans="1:13" ht="15.75" customHeight="1">
      <c r="A5" s="30"/>
      <c r="B5" s="4"/>
      <c r="C5" s="4"/>
      <c r="D5" s="4"/>
      <c r="E5" s="4"/>
      <c r="F5" s="4"/>
      <c r="G5" s="29"/>
      <c r="H5" s="27" t="s">
        <v>21</v>
      </c>
      <c r="I5" s="405">
        <f>IF(Participants!E5="","",Participants!E5)</f>
      </c>
      <c r="J5" s="405"/>
      <c r="K5" s="405"/>
      <c r="L5" s="405"/>
      <c r="M5" s="405"/>
    </row>
    <row r="6" spans="1:18" ht="15.75" customHeight="1">
      <c r="A6" s="30"/>
      <c r="B6" s="412" t="str">
        <f>IF(Participants!K10&lt;&gt;"",Participants!K10," ")</f>
        <v> </v>
      </c>
      <c r="C6" s="412"/>
      <c r="D6" s="412"/>
      <c r="E6" s="412"/>
      <c r="F6" s="412"/>
      <c r="G6" s="29"/>
      <c r="H6" s="27" t="s">
        <v>22</v>
      </c>
      <c r="I6" s="405">
        <f>IF(Participants!G5="","",Participants!G5)</f>
      </c>
      <c r="J6" s="405"/>
      <c r="K6" s="405"/>
      <c r="L6" s="405"/>
      <c r="M6" s="405"/>
      <c r="O6" s="4" t="s">
        <v>505</v>
      </c>
      <c r="R6" s="208">
        <f>COUNTBLANK(phase_finale)</f>
        <v>6</v>
      </c>
    </row>
    <row r="7" spans="1:13" ht="10.5" customHeight="1">
      <c r="A7" s="30"/>
      <c r="B7" s="412" t="str">
        <f>IF(Participants!K11&lt;&gt;"",Participants!K11," ")</f>
        <v> </v>
      </c>
      <c r="C7" s="412"/>
      <c r="D7" s="412"/>
      <c r="E7" s="412"/>
      <c r="F7" s="412"/>
      <c r="G7" s="29"/>
      <c r="H7" s="31"/>
      <c r="I7" s="4"/>
      <c r="J7" s="32"/>
      <c r="K7" s="30"/>
      <c r="L7" s="30"/>
      <c r="M7" s="30"/>
    </row>
    <row r="8" spans="1:13" ht="15.75" customHeight="1">
      <c r="A8" s="30"/>
      <c r="B8" s="412" t="str">
        <f>IF(Participants!K12&lt;&gt;"",Participants!K12," ")</f>
        <v> </v>
      </c>
      <c r="C8" s="412"/>
      <c r="D8" s="412"/>
      <c r="E8" s="412"/>
      <c r="F8" s="412"/>
      <c r="G8" s="29"/>
      <c r="H8" s="27" t="s">
        <v>23</v>
      </c>
      <c r="I8" s="416" t="str">
        <f>IF(Participants!B7&lt;&gt;"",Participants!B7," ")</f>
        <v> </v>
      </c>
      <c r="J8" s="416"/>
      <c r="K8" s="416"/>
      <c r="L8" s="416"/>
      <c r="M8" s="416"/>
    </row>
    <row r="9" spans="1:13" ht="9" customHeight="1">
      <c r="A9" s="34"/>
      <c r="B9" s="35"/>
      <c r="C9" s="35"/>
      <c r="D9" s="36"/>
      <c r="E9" s="36"/>
      <c r="F9" s="36"/>
      <c r="G9" s="36"/>
      <c r="H9" s="37"/>
      <c r="I9" s="34"/>
      <c r="J9" s="36"/>
      <c r="K9" s="36"/>
      <c r="L9" s="36"/>
      <c r="M9" s="36"/>
    </row>
    <row r="10" spans="1:13" ht="4.5" customHeight="1">
      <c r="A10" s="36"/>
      <c r="B10" s="36"/>
      <c r="C10" s="36"/>
      <c r="D10" s="36"/>
      <c r="E10" s="36"/>
      <c r="F10" s="36"/>
      <c r="G10" s="36"/>
      <c r="H10" s="37"/>
      <c r="I10" s="36"/>
      <c r="J10" s="36"/>
      <c r="K10" s="36"/>
      <c r="L10" s="36"/>
      <c r="M10" s="36"/>
    </row>
    <row r="11" spans="1:13" ht="12.75" customHeight="1">
      <c r="A11" s="38" t="s">
        <v>37</v>
      </c>
      <c r="B11" s="39"/>
      <c r="C11" s="403">
        <f>IF(Participants!D10="","",Participants!D10)</f>
      </c>
      <c r="D11" s="403"/>
      <c r="E11" s="403"/>
      <c r="F11" s="404"/>
      <c r="G11" s="40"/>
      <c r="H11" s="38" t="s">
        <v>38</v>
      </c>
      <c r="I11" s="128"/>
      <c r="J11" s="403">
        <f>IF(Participants!D14="","",Participants!D14)</f>
      </c>
      <c r="K11" s="403"/>
      <c r="L11" s="403"/>
      <c r="M11" s="404"/>
    </row>
    <row r="12" spans="1:25" ht="12.75" customHeight="1">
      <c r="A12" s="41" t="str">
        <f>IF(Participants!F10="","",Participants!F10)</f>
        <v> </v>
      </c>
      <c r="B12" s="42" t="s">
        <v>30</v>
      </c>
      <c r="C12" s="391" t="str">
        <f>IF(Participants!E10="","",Participants!E10)</f>
        <v> </v>
      </c>
      <c r="D12" s="391"/>
      <c r="E12" s="391"/>
      <c r="F12" s="392"/>
      <c r="G12" s="40"/>
      <c r="H12" s="129" t="str">
        <f>IF(Participants!F14="","",Participants!F14)</f>
        <v> </v>
      </c>
      <c r="I12" s="42" t="s">
        <v>30</v>
      </c>
      <c r="J12" s="402" t="str">
        <f>IF(Participants!E14="","",Participants!E14)</f>
        <v> </v>
      </c>
      <c r="K12" s="402"/>
      <c r="L12" s="402"/>
      <c r="M12" s="392"/>
      <c r="O12" s="398">
        <f>C11</f>
      </c>
      <c r="P12" s="399"/>
      <c r="Q12" s="399"/>
      <c r="R12" s="399"/>
      <c r="S12" s="400"/>
      <c r="U12" s="398">
        <f>J11</f>
      </c>
      <c r="V12" s="399"/>
      <c r="W12" s="399"/>
      <c r="X12" s="399"/>
      <c r="Y12" s="400"/>
    </row>
    <row r="13" spans="1:25" ht="16.5">
      <c r="A13" s="130"/>
      <c r="B13" s="131" t="s">
        <v>7</v>
      </c>
      <c r="C13" s="131" t="s">
        <v>8</v>
      </c>
      <c r="D13" s="131" t="s">
        <v>9</v>
      </c>
      <c r="E13" s="132" t="s">
        <v>11</v>
      </c>
      <c r="F13" s="120" t="s">
        <v>31</v>
      </c>
      <c r="G13" s="4"/>
      <c r="H13" s="133"/>
      <c r="I13" s="131" t="s">
        <v>7</v>
      </c>
      <c r="J13" s="131" t="s">
        <v>8</v>
      </c>
      <c r="K13" s="134" t="s">
        <v>9</v>
      </c>
      <c r="L13" s="132" t="s">
        <v>11</v>
      </c>
      <c r="M13" s="43" t="s">
        <v>31</v>
      </c>
      <c r="O13" s="158">
        <f>IF(F14&gt;1,E14,0)</f>
        <v>0</v>
      </c>
      <c r="P13" s="158">
        <f>IF(F15&gt;1,E15,0)</f>
        <v>0</v>
      </c>
      <c r="Q13" s="158">
        <f>IF(F16&gt;1,E16,0)</f>
        <v>0</v>
      </c>
      <c r="R13" s="158">
        <f>IF(F17&gt;1,E17,0)</f>
        <v>0</v>
      </c>
      <c r="S13" s="158">
        <f>IF(F18&gt;1,E18,0)</f>
        <v>0</v>
      </c>
      <c r="T13" s="99"/>
      <c r="U13" s="158">
        <f>IF(M14&gt;1,L14,0)</f>
        <v>0</v>
      </c>
      <c r="V13" s="158">
        <f>IF(M15&gt;1,L15,0)</f>
        <v>0</v>
      </c>
      <c r="W13" s="158">
        <f>IF(M16&gt;1,L16,0)</f>
        <v>0</v>
      </c>
      <c r="X13" s="158">
        <f>IF(M17&gt;1,L17,0)</f>
        <v>0</v>
      </c>
      <c r="Y13" s="158">
        <f>IF(M18&gt;1,L18,0)</f>
        <v>0</v>
      </c>
    </row>
    <row r="14" spans="1:13" ht="13.5">
      <c r="A14" s="206">
        <f>IF(C11='Phase de poule'!C4,'Phase de poule'!C5,IF(C11='Phase de poule'!C5,'Phase de poule'!C4," "))</f>
      </c>
      <c r="B14" s="153">
        <f>_xlfn.IFERROR(VLOOKUP(C11,poule_a_t_1,2,FALSE),"")</f>
        <v>0</v>
      </c>
      <c r="C14" s="153">
        <f>_xlfn.IFERROR(VLOOKUP(C11,poule_a_t_1,3,FALSE),"")</f>
        <v>0</v>
      </c>
      <c r="D14" s="153">
        <f>_xlfn.IFERROR(VLOOKUP(C11,poule_a_t_1,4,FALSE),"")</f>
        <v>0</v>
      </c>
      <c r="E14" s="119">
        <f>_xlfn.IFERROR(VLOOKUP(C11,poule_a_t_1,6,FALSE),"")</f>
      </c>
      <c r="F14" s="153">
        <f>_xlfn.IFERROR(VLOOKUP(C11,poule_a_t_1,5,FALSE),"")</f>
        <v>0</v>
      </c>
      <c r="G14" s="44"/>
      <c r="H14" s="156">
        <f>IF(J11='Phase de poule'!C6,'Phase de poule'!C7,IF(J11='Phase de poule'!C7,'Phase de poule'!C6," "))</f>
      </c>
      <c r="I14" s="153">
        <f>_xlfn.IFERROR(VLOOKUP(J11,poule_b_t_1,2,FALSE),"")</f>
        <v>0</v>
      </c>
      <c r="J14" s="153">
        <f>_xlfn.IFERROR(VLOOKUP(J11,poule_b_t_1,3,FALSE),"")</f>
        <v>0</v>
      </c>
      <c r="K14" s="153">
        <f>_xlfn.IFERROR(VLOOKUP(J11,poule_b_t_1,4,FALSE),"")</f>
        <v>0</v>
      </c>
      <c r="L14" s="119">
        <f>_xlfn.IFERROR(VLOOKUP(J11,poule_b_t_1,6,FALSE),"")</f>
      </c>
      <c r="M14" s="153">
        <f>_xlfn.IFERROR(VLOOKUP(J11,poule_b_t_1,5,FALSE),"")</f>
        <v>0</v>
      </c>
    </row>
    <row r="15" spans="1:13" ht="13.5">
      <c r="A15" s="206">
        <f>IF(C11='Phase de poule'!C11,'Phase de poule'!C12,IF(C11='Phase de poule'!C11,'Phase de poule'!C12," "))</f>
      </c>
      <c r="B15" s="153">
        <f>_xlfn.IFERROR(VLOOKUP(C11,poule_a_t_2,2,FALSE),"")</f>
        <v>0</v>
      </c>
      <c r="C15" s="153">
        <f>_xlfn.IFERROR(VLOOKUP(C11,poule_a_t_2,3,FALSE),"")</f>
        <v>0</v>
      </c>
      <c r="D15" s="153">
        <f>_xlfn.IFERROR(VLOOKUP(C11,poule_a_t_2,4,FALSE),"")</f>
        <v>0</v>
      </c>
      <c r="E15" s="119">
        <f>_xlfn.IFERROR(VLOOKUP(C11,poule_a_t_2,6,FALSE),"")</f>
      </c>
      <c r="F15" s="153">
        <f>_xlfn.IFERROR(VLOOKUP(C11,poule_a_t_2,5,FALSE),"")</f>
        <v>0</v>
      </c>
      <c r="G15" s="44"/>
      <c r="H15" s="156">
        <f>IF(J11='Phase de poule'!C13,'Phase de poule'!C14,IF(J11='Phase de poule'!C14,'Phase de poule'!C13," "))</f>
      </c>
      <c r="I15" s="153">
        <f>_xlfn.IFERROR(VLOOKUP(J11,poule_b_t_2,2,FALSE),"")</f>
        <v>0</v>
      </c>
      <c r="J15" s="153">
        <f>_xlfn.IFERROR(VLOOKUP(J11,poule_b_t_2,3,FALSE),"")</f>
        <v>0</v>
      </c>
      <c r="K15" s="153">
        <f>_xlfn.IFERROR(VLOOKUP(J11,poule_b_t_2,4,FALSE),"")</f>
        <v>0</v>
      </c>
      <c r="L15" s="119">
        <f>_xlfn.IFERROR(VLOOKUP(J11,poule_b_t_2,6,FALSE),"")</f>
      </c>
      <c r="M15" s="153">
        <f>_xlfn.IFERROR(VLOOKUP(J11,poule_b_t_2,5,FALSE),"")</f>
        <v>0</v>
      </c>
    </row>
    <row r="16" spans="1:13" ht="13.5">
      <c r="A16" s="206">
        <f>IF(C11='Phase de poule'!C18,'Phase de poule'!C19,IF(C11='Phase de poule'!C19,'Phase de poule'!C18," "))</f>
      </c>
      <c r="B16" s="153">
        <f>_xlfn.IFERROR(VLOOKUP(C11,poule_a_t_3,2,FALSE),"")</f>
        <v>0</v>
      </c>
      <c r="C16" s="153">
        <f>_xlfn.IFERROR(VLOOKUP(C11,poule_a_t_3,3,FALSE),"")</f>
        <v>0</v>
      </c>
      <c r="D16" s="153">
        <f>_xlfn.IFERROR(VLOOKUP(C11,poule_a_t_3,4,FALSE),"")</f>
        <v>0</v>
      </c>
      <c r="E16" s="119">
        <f>_xlfn.IFERROR(VLOOKUP(C11,poule_a_t_3,6,FALSE),"")</f>
      </c>
      <c r="F16" s="153">
        <f>_xlfn.IFERROR(VLOOKUP(C11,poule_a_t_3,5,FALSE),"")</f>
        <v>0</v>
      </c>
      <c r="G16" s="44"/>
      <c r="H16" s="156">
        <f>IF(J11='Phase de poule'!C20,'Phase de poule'!C21,IF(J11='Phase de poule'!C21,'Phase de poule'!C20," "))</f>
      </c>
      <c r="I16" s="153">
        <f>_xlfn.IFERROR(VLOOKUP(J11,poule_b_t_3,2,FALSE),"")</f>
        <v>0</v>
      </c>
      <c r="J16" s="153">
        <f>_xlfn.IFERROR(VLOOKUP(J11,poule_b_t_3,3,FALSE),"")</f>
        <v>0</v>
      </c>
      <c r="K16" s="153">
        <f>_xlfn.IFERROR(VLOOKUP(J11,poule_b_t_3,4,FALSE),"")</f>
        <v>0</v>
      </c>
      <c r="L16" s="119">
        <f>_xlfn.IFERROR(VLOOKUP(J11,poule_b_t_3,6,FALSE),"")</f>
      </c>
      <c r="M16" s="153">
        <f>_xlfn.IFERROR(VLOOKUP(J11,poule_b_t_3,5,FALSE),"")</f>
        <v>0</v>
      </c>
    </row>
    <row r="17" spans="1:13" ht="13.5">
      <c r="A17" s="206">
        <f>_xlfn.IFERROR(VLOOKUP(C11,tour_num_4,2,FALSE),"")</f>
      </c>
      <c r="B17" s="154">
        <f>_xlfn.IFERROR(VLOOKUP(C11,tour_num_4,3,FALSE),"")</f>
        <v>0</v>
      </c>
      <c r="C17" s="154">
        <f>_xlfn.IFERROR(VLOOKUP(C11,tour_num_4,4,FALSE),"")</f>
        <v>0</v>
      </c>
      <c r="D17" s="154">
        <f>_xlfn.IFERROR(VLOOKUP(C11,tour_num_4,5,FALSE),"")</f>
        <v>0</v>
      </c>
      <c r="E17" s="155">
        <f>_xlfn.IFERROR(VLOOKUP(C11,tour_num_4,7,FALSE),"")</f>
      </c>
      <c r="F17" s="153">
        <f>_xlfn.IFERROR(VLOOKUP(C11,tour_num_4,6,FALSE),"")</f>
        <v>0</v>
      </c>
      <c r="G17" s="44"/>
      <c r="H17" s="156">
        <f>_xlfn.IFERROR(VLOOKUP(J11,tour_num_4,2,FALSE),"")</f>
      </c>
      <c r="I17" s="154">
        <f>_xlfn.IFERROR(VLOOKUP(J11,tour_num_4,3,FALSE),"")</f>
        <v>0</v>
      </c>
      <c r="J17" s="154">
        <f>_xlfn.IFERROR(VLOOKUP(J11,tour_num_4,4,FALSE),"")</f>
        <v>0</v>
      </c>
      <c r="K17" s="154">
        <f>_xlfn.IFERROR(VLOOKUP(J11,tour_num_4,5,FALSE),"")</f>
        <v>0</v>
      </c>
      <c r="L17" s="155">
        <f>_xlfn.IFERROR(VLOOKUP(J11,tour_num_4,7,FALSE),"")</f>
      </c>
      <c r="M17" s="153">
        <f>_xlfn.IFERROR(VLOOKUP(J11,tour_num_4,6,FALSE),"")</f>
        <v>0</v>
      </c>
    </row>
    <row r="18" spans="1:21" ht="13.5">
      <c r="A18" s="206">
        <f>_xlfn.IFERROR(VLOOKUP(C11,tour_num_5,2,FALSE),"")</f>
      </c>
      <c r="B18" s="154">
        <f>_xlfn.IFERROR(VLOOKUP(C11,tour_num_5,3,FALSE),"")</f>
        <v>0</v>
      </c>
      <c r="C18" s="154">
        <f>_xlfn.IFERROR(VLOOKUP(C11,tour_num_5,4,FALSE),"")</f>
        <v>0</v>
      </c>
      <c r="D18" s="154">
        <f>_xlfn.IFERROR(VLOOKUP(C11,tour_num_5,5,FALSE),"")</f>
        <v>0</v>
      </c>
      <c r="E18" s="155">
        <f>_xlfn.IFERROR(VLOOKUP(C11,tour_num_5,7,FALSE),"")</f>
      </c>
      <c r="F18" s="153">
        <f>_xlfn.IFERROR(VLOOKUP(C11,tour_num_5,6,FALSE),"")</f>
        <v>0</v>
      </c>
      <c r="G18" s="44"/>
      <c r="H18" s="156">
        <f>_xlfn.IFERROR(VLOOKUP(J11,tour_num_5,2,FALSE),"")</f>
      </c>
      <c r="I18" s="154">
        <f>_xlfn.IFERROR(VLOOKUP(J11,tour_num_5,3,FALSE),"")</f>
        <v>0</v>
      </c>
      <c r="J18" s="154">
        <f>_xlfn.IFERROR(VLOOKUP(J11,tour_num_5,4,FALSE),"")</f>
        <v>0</v>
      </c>
      <c r="K18" s="154">
        <f>_xlfn.IFERROR(VLOOKUP(J11,tour_num_5,5,FALSE),"")</f>
        <v>0</v>
      </c>
      <c r="L18" s="155">
        <f>_xlfn.IFERROR(VLOOKUP(J11,tour_num_5,7,FALSE),"")</f>
      </c>
      <c r="M18" s="153">
        <f>_xlfn.IFERROR(VLOOKUP(J11,tour_num_5,6,FALSE),"")</f>
        <v>0</v>
      </c>
      <c r="U18" s="159"/>
    </row>
    <row r="19" spans="1:13" ht="3.75" customHeight="1">
      <c r="A19" s="135"/>
      <c r="B19" s="136"/>
      <c r="C19" s="136"/>
      <c r="D19" s="136"/>
      <c r="E19" s="45"/>
      <c r="F19" s="152"/>
      <c r="G19" s="138"/>
      <c r="H19" s="4"/>
      <c r="I19" s="139"/>
      <c r="J19" s="140"/>
      <c r="K19" s="140"/>
      <c r="L19" s="141"/>
      <c r="M19" s="142"/>
    </row>
    <row r="20" spans="1:13" ht="13.5">
      <c r="A20" s="46" t="s">
        <v>32</v>
      </c>
      <c r="B20" s="280">
        <f>SUM(B14:B18)</f>
        <v>0</v>
      </c>
      <c r="C20" s="280">
        <f>SUM(C14:C18)</f>
        <v>0</v>
      </c>
      <c r="D20" s="280">
        <f>MAX(D14:D18)</f>
        <v>0</v>
      </c>
      <c r="E20" s="281">
        <f>IF(C20&gt;0,B20/C20,0)</f>
        <v>0</v>
      </c>
      <c r="F20" s="283">
        <f>SUM(F14:F18)</f>
        <v>0</v>
      </c>
      <c r="G20" s="44"/>
      <c r="H20" s="46" t="s">
        <v>32</v>
      </c>
      <c r="I20" s="280">
        <f>SUM(I14:I18)</f>
        <v>0</v>
      </c>
      <c r="J20" s="280">
        <f>SUM(J14:J18)</f>
        <v>0</v>
      </c>
      <c r="K20" s="280">
        <f>MAX(K14:K18)</f>
        <v>0</v>
      </c>
      <c r="L20" s="281">
        <f>IF(J20&gt;0,I20/J20,0)</f>
        <v>0</v>
      </c>
      <c r="M20" s="283">
        <f>SUM(M14:M18)</f>
        <v>0</v>
      </c>
    </row>
    <row r="21" spans="1:13" ht="5.25" customHeight="1">
      <c r="A21" s="47"/>
      <c r="B21" s="33"/>
      <c r="C21" s="33"/>
      <c r="D21" s="28"/>
      <c r="E21" s="33"/>
      <c r="F21" s="48"/>
      <c r="G21" s="49"/>
      <c r="H21" s="47"/>
      <c r="I21" s="33"/>
      <c r="J21" s="33"/>
      <c r="K21" s="28"/>
      <c r="L21" s="33"/>
      <c r="M21" s="48"/>
    </row>
    <row r="22" spans="1:13" ht="12.75">
      <c r="A22" s="50" t="s">
        <v>603</v>
      </c>
      <c r="B22" s="282">
        <f>IF(Participants!G10="","",Participants!G10)</f>
      </c>
      <c r="C22" s="413" t="s">
        <v>35</v>
      </c>
      <c r="D22" s="414"/>
      <c r="E22" s="414"/>
      <c r="F22" s="53">
        <f>MAX(O13:S13)</f>
        <v>0</v>
      </c>
      <c r="G22" s="54"/>
      <c r="H22" s="50" t="s">
        <v>603</v>
      </c>
      <c r="I22" s="282">
        <f>IF(Participants!G14="","",Participants!G14)</f>
      </c>
      <c r="J22" s="413" t="s">
        <v>35</v>
      </c>
      <c r="K22" s="414"/>
      <c r="L22" s="414"/>
      <c r="M22" s="53">
        <f>MAX(U13:Y13)</f>
        <v>0</v>
      </c>
    </row>
    <row r="23" spans="1:13" ht="12.75">
      <c r="A23" s="50" t="s">
        <v>657</v>
      </c>
      <c r="B23" s="282">
        <f>_xlfn.IFERROR(VLOOKUP(D23,tableau_points_ranking,2,FALSE),0)</f>
        <v>0</v>
      </c>
      <c r="C23" s="284" t="s">
        <v>658</v>
      </c>
      <c r="D23" s="280">
        <f>IF($R$6=0,_xlfn.IFERROR(VLOOKUP(C11,classement_final,4,FALSE),""),0)</f>
        <v>0</v>
      </c>
      <c r="E23" s="30"/>
      <c r="F23" s="143"/>
      <c r="G23" s="143"/>
      <c r="H23" s="50" t="s">
        <v>657</v>
      </c>
      <c r="I23" s="282">
        <f>_xlfn.IFERROR(VLOOKUP(K23,tableau_points_ranking,2,FALSE),0)</f>
        <v>0</v>
      </c>
      <c r="J23" s="284" t="s">
        <v>658</v>
      </c>
      <c r="K23" s="280">
        <f>IF($R$6=0,_xlfn.IFERROR(VLOOKUP(J11,classement_final,4,FALSE),""),0)</f>
        <v>0</v>
      </c>
      <c r="L23" s="30"/>
      <c r="M23" s="143"/>
    </row>
    <row r="24" spans="1:13" ht="12.75">
      <c r="A24" s="50" t="s">
        <v>656</v>
      </c>
      <c r="B24" s="282">
        <f>F20</f>
        <v>0</v>
      </c>
      <c r="C24" s="55" t="s">
        <v>36</v>
      </c>
      <c r="D24" s="52"/>
      <c r="E24" s="29"/>
      <c r="F24" s="56"/>
      <c r="G24" s="56"/>
      <c r="H24" s="50" t="s">
        <v>656</v>
      </c>
      <c r="I24" s="282">
        <f>M20</f>
        <v>0</v>
      </c>
      <c r="J24" s="55" t="s">
        <v>36</v>
      </c>
      <c r="K24" s="52"/>
      <c r="L24" s="29"/>
      <c r="M24" s="56"/>
    </row>
    <row r="25" spans="1:13" ht="12.75">
      <c r="A25" s="57" t="s">
        <v>659</v>
      </c>
      <c r="B25" s="271">
        <f>SUM(B22,B23,B24)</f>
        <v>0</v>
      </c>
      <c r="C25" s="58"/>
      <c r="D25" s="144"/>
      <c r="E25" s="144"/>
      <c r="F25" s="145"/>
      <c r="G25" s="146"/>
      <c r="H25" s="57" t="s">
        <v>659</v>
      </c>
      <c r="I25" s="271">
        <f>SUM(I22,I23,I24)</f>
        <v>0</v>
      </c>
      <c r="J25" s="58"/>
      <c r="K25" s="144"/>
      <c r="L25" s="144"/>
      <c r="M25" s="145"/>
    </row>
    <row r="26" spans="1:13" ht="12.75" customHeight="1">
      <c r="A26" s="59"/>
      <c r="B26" s="36"/>
      <c r="C26" s="36"/>
      <c r="D26" s="36"/>
      <c r="E26" s="36"/>
      <c r="F26" s="36"/>
      <c r="G26" s="36"/>
      <c r="H26" s="37"/>
      <c r="I26" s="34"/>
      <c r="J26" s="36"/>
      <c r="K26" s="36"/>
      <c r="L26" s="36"/>
      <c r="M26" s="36"/>
    </row>
    <row r="27" spans="1:13" ht="12.75">
      <c r="A27" s="38" t="s">
        <v>45</v>
      </c>
      <c r="B27" s="39"/>
      <c r="C27" s="403">
        <f>IF(Participants!D11="","",Participants!D11)</f>
      </c>
      <c r="D27" s="403"/>
      <c r="E27" s="403"/>
      <c r="F27" s="404"/>
      <c r="G27" s="40"/>
      <c r="H27" s="38" t="s">
        <v>47</v>
      </c>
      <c r="I27" s="128"/>
      <c r="J27" s="403">
        <f>IF(Participants!D15="","",Participants!D15)</f>
      </c>
      <c r="K27" s="403"/>
      <c r="L27" s="403"/>
      <c r="M27" s="404"/>
    </row>
    <row r="28" spans="1:25" ht="12.75">
      <c r="A28" s="41" t="str">
        <f>IF(Participants!F11="","",Participants!F11)</f>
        <v> </v>
      </c>
      <c r="B28" s="42" t="s">
        <v>30</v>
      </c>
      <c r="C28" s="391" t="str">
        <f>IF(Participants!E11="","",Participants!E11)</f>
        <v> </v>
      </c>
      <c r="D28" s="391"/>
      <c r="E28" s="391"/>
      <c r="F28" s="392"/>
      <c r="G28" s="40"/>
      <c r="H28" s="129" t="str">
        <f>IF(Participants!F15="","",Participants!F15)</f>
        <v> </v>
      </c>
      <c r="I28" s="42" t="s">
        <v>30</v>
      </c>
      <c r="J28" s="402" t="str">
        <f>IF(Participants!E15="","",Participants!E15)</f>
        <v> </v>
      </c>
      <c r="K28" s="402"/>
      <c r="L28" s="402"/>
      <c r="M28" s="392"/>
      <c r="O28" s="398">
        <f>C27</f>
      </c>
      <c r="P28" s="399"/>
      <c r="Q28" s="399"/>
      <c r="R28" s="399"/>
      <c r="S28" s="400"/>
      <c r="U28" s="398">
        <f>J27</f>
      </c>
      <c r="V28" s="399"/>
      <c r="W28" s="399"/>
      <c r="X28" s="399"/>
      <c r="Y28" s="400"/>
    </row>
    <row r="29" spans="1:25" ht="16.5">
      <c r="A29" s="130"/>
      <c r="B29" s="131" t="s">
        <v>7</v>
      </c>
      <c r="C29" s="131" t="s">
        <v>8</v>
      </c>
      <c r="D29" s="131" t="s">
        <v>9</v>
      </c>
      <c r="E29" s="132" t="s">
        <v>11</v>
      </c>
      <c r="F29" s="120" t="s">
        <v>31</v>
      </c>
      <c r="G29" s="147"/>
      <c r="H29" s="135"/>
      <c r="I29" s="131" t="s">
        <v>7</v>
      </c>
      <c r="J29" s="131" t="s">
        <v>8</v>
      </c>
      <c r="K29" s="134" t="s">
        <v>9</v>
      </c>
      <c r="L29" s="132" t="s">
        <v>11</v>
      </c>
      <c r="M29" s="43" t="s">
        <v>31</v>
      </c>
      <c r="O29" s="158">
        <f>IF(F30&gt;1,E30,0)</f>
        <v>0</v>
      </c>
      <c r="P29" s="158">
        <f>IF(F31&gt;1,E31,0)</f>
        <v>0</v>
      </c>
      <c r="Q29" s="158">
        <f>IF(F32&gt;1,E32,0)</f>
        <v>0</v>
      </c>
      <c r="R29" s="158">
        <f>IF(F33&gt;1,E33,0)</f>
        <v>0</v>
      </c>
      <c r="S29" s="158">
        <f>IF(F34&gt;1,E34,0)</f>
        <v>0</v>
      </c>
      <c r="T29" s="99"/>
      <c r="U29" s="158">
        <f>IF(M30&gt;1,L30,0)</f>
        <v>0</v>
      </c>
      <c r="V29" s="158">
        <f>IF(M31&gt;1,L31,0)</f>
        <v>0</v>
      </c>
      <c r="W29" s="158">
        <f>IF(M32&gt;1,L32,0)</f>
        <v>0</v>
      </c>
      <c r="X29" s="158">
        <f>IF(M33&gt;1,L33,0)</f>
        <v>0</v>
      </c>
      <c r="Y29" s="158">
        <f>IF(M34&gt;1,L34,0)</f>
        <v>0</v>
      </c>
    </row>
    <row r="30" spans="1:13" ht="13.5">
      <c r="A30" s="206">
        <f>IF(C27='Phase de poule'!C4,'Phase de poule'!C5,IF(C27='Phase de poule'!C5,'Phase de poule'!C4," "))</f>
      </c>
      <c r="B30" s="153">
        <f>_xlfn.IFERROR(VLOOKUP(C27,poule_a_t_1,2,FALSE),"")</f>
        <v>0</v>
      </c>
      <c r="C30" s="153">
        <f>_xlfn.IFERROR(VLOOKUP(C27,poule_a_t_1,3,FALSE),"")</f>
        <v>0</v>
      </c>
      <c r="D30" s="153">
        <f>_xlfn.IFERROR(VLOOKUP(C27,poule_a_t_1,4,FALSE),"")</f>
        <v>0</v>
      </c>
      <c r="E30" s="119">
        <f>_xlfn.IFERROR(VLOOKUP(C27,poule_a_t_1,6,FALSE),"")</f>
      </c>
      <c r="F30" s="153">
        <f>_xlfn.IFERROR(VLOOKUP(C27,poule_a_t_1,5,FALSE),"")</f>
        <v>0</v>
      </c>
      <c r="G30" s="44"/>
      <c r="H30" s="156">
        <f>IF(J27='Phase de poule'!C6,'Phase de poule'!C7,IF(J27='Phase de poule'!C7,'Phase de poule'!C6," "))</f>
      </c>
      <c r="I30" s="153">
        <f>_xlfn.IFERROR(VLOOKUP(J27,poule_b_t_1,2,FALSE),"")</f>
        <v>0</v>
      </c>
      <c r="J30" s="153">
        <f>_xlfn.IFERROR(VLOOKUP(J27,poule_b_t_1,3,FALSE),"")</f>
        <v>0</v>
      </c>
      <c r="K30" s="153">
        <f>_xlfn.IFERROR(VLOOKUP(J27,poule_b_t_1,4,FALSE),"")</f>
        <v>0</v>
      </c>
      <c r="L30" s="119">
        <f>_xlfn.IFERROR(VLOOKUP(J27,poule_b_t_1,6,FALSE),"")</f>
      </c>
      <c r="M30" s="153">
        <f>_xlfn.IFERROR(VLOOKUP(J27,poule_b_t_1,5,FALSE),"")</f>
        <v>0</v>
      </c>
    </row>
    <row r="31" spans="1:13" ht="12.75" customHeight="1">
      <c r="A31" s="206">
        <f>IF(C27='Phase de poule'!C11,'Phase de poule'!C12,IF(C27='Phase de poule'!C12,'Phase de poule'!C11," "))</f>
      </c>
      <c r="B31" s="153">
        <f>_xlfn.IFERROR(VLOOKUP(C27,poule_a_t_2,2,FALSE),"")</f>
        <v>0</v>
      </c>
      <c r="C31" s="153">
        <f>_xlfn.IFERROR(VLOOKUP(C27,poule_a_t_2,3,FALSE),"")</f>
        <v>0</v>
      </c>
      <c r="D31" s="153">
        <f>_xlfn.IFERROR(VLOOKUP(C27,poule_a_t_2,4,FALSE),"")</f>
        <v>0</v>
      </c>
      <c r="E31" s="119">
        <f>_xlfn.IFERROR(VLOOKUP(C27,poule_a_t_2,6,FALSE),"")</f>
      </c>
      <c r="F31" s="153">
        <f>_xlfn.IFERROR(VLOOKUP(C27,poule_a_t_2,5,FALSE),"")</f>
        <v>0</v>
      </c>
      <c r="G31" s="44"/>
      <c r="H31" s="156">
        <f>IF(J27='Phase de poule'!C13,'Phase de poule'!C14,IF(J27='Phase de poule'!C14,'Phase de poule'!C13," "))</f>
      </c>
      <c r="I31" s="153">
        <f>_xlfn.IFERROR(VLOOKUP(J27,poule_b_t_2,2,FALSE),"")</f>
        <v>0</v>
      </c>
      <c r="J31" s="153">
        <f>_xlfn.IFERROR(VLOOKUP(J27,poule_b_t_2,3,FALSE),"")</f>
        <v>0</v>
      </c>
      <c r="K31" s="153">
        <f>_xlfn.IFERROR(VLOOKUP(J27,poule_b_t_2,4,FALSE),"")</f>
        <v>0</v>
      </c>
      <c r="L31" s="119">
        <f>_xlfn.IFERROR(VLOOKUP(J27,poule_b_t_2,6,FALSE),"")</f>
      </c>
      <c r="M31" s="153">
        <f>_xlfn.IFERROR(VLOOKUP(J27,poule_b_t_2,5,FALSE),"")</f>
        <v>0</v>
      </c>
    </row>
    <row r="32" spans="1:13" ht="13.5">
      <c r="A32" s="206">
        <f>IF(C27='Phase de poule'!C18,'Phase de poule'!C19,IF(C27='Phase de poule'!C19,'Phase de poule'!C18," "))</f>
      </c>
      <c r="B32" s="153">
        <f>_xlfn.IFERROR(VLOOKUP(C27,poule_a_t_3,2,FALSE),"")</f>
        <v>0</v>
      </c>
      <c r="C32" s="153">
        <f>_xlfn.IFERROR(VLOOKUP(C27,poule_a_t_3,3,FALSE),"")</f>
        <v>0</v>
      </c>
      <c r="D32" s="153">
        <f>_xlfn.IFERROR(VLOOKUP(C27,poule_a_t_3,4,FALSE),"")</f>
        <v>0</v>
      </c>
      <c r="E32" s="119">
        <f>_xlfn.IFERROR(VLOOKUP(C27,poule_a_t_3,6,FALSE),"")</f>
      </c>
      <c r="F32" s="153">
        <f>_xlfn.IFERROR(VLOOKUP(C27,poule_a_t_3,5,FALSE),"")</f>
        <v>0</v>
      </c>
      <c r="G32" s="44"/>
      <c r="H32" s="156">
        <f>IF(J27='Phase de poule'!C20,'Phase de poule'!C21,IF(J27='Phase de poule'!C21,'Phase de poule'!C20," "))</f>
      </c>
      <c r="I32" s="153">
        <f>_xlfn.IFERROR(VLOOKUP(J27,poule_b_t_3,2,FALSE),"")</f>
        <v>0</v>
      </c>
      <c r="J32" s="153">
        <f>_xlfn.IFERROR(VLOOKUP(J27,poule_b_t_3,3,FALSE),"")</f>
        <v>0</v>
      </c>
      <c r="K32" s="153">
        <f>_xlfn.IFERROR(VLOOKUP(J27,poule_b_t_3,4,FALSE),"")</f>
        <v>0</v>
      </c>
      <c r="L32" s="119">
        <f>_xlfn.IFERROR(VLOOKUP(J27,poule_b_t_3,6,FALSE),"")</f>
      </c>
      <c r="M32" s="153">
        <f>_xlfn.IFERROR(VLOOKUP(J27,poule_b_t_3,5,FALSE),"")</f>
        <v>0</v>
      </c>
    </row>
    <row r="33" spans="1:13" ht="13.5">
      <c r="A33" s="206">
        <f>_xlfn.IFERROR(VLOOKUP(C27,tour_num_4,2,FALSE),"")</f>
      </c>
      <c r="B33" s="154">
        <f>_xlfn.IFERROR(VLOOKUP(C27,tour_num_4,3,FALSE),"")</f>
        <v>0</v>
      </c>
      <c r="C33" s="154">
        <f>_xlfn.IFERROR(VLOOKUP(C27,tour_num_4,4,FALSE),"")</f>
        <v>0</v>
      </c>
      <c r="D33" s="154">
        <f>_xlfn.IFERROR(VLOOKUP(C27,tour_num_4,5,FALSE),"")</f>
        <v>0</v>
      </c>
      <c r="E33" s="155">
        <f>_xlfn.IFERROR(VLOOKUP(C27,tour_num_4,7,FALSE),"")</f>
      </c>
      <c r="F33" s="153">
        <f>_xlfn.IFERROR(VLOOKUP(C27,tour_num_4,6,FALSE),"")</f>
        <v>0</v>
      </c>
      <c r="G33" s="44"/>
      <c r="H33" s="156">
        <f>_xlfn.IFERROR(VLOOKUP(J27,tour_num_4,2,FALSE),"")</f>
      </c>
      <c r="I33" s="154">
        <f>_xlfn.IFERROR(VLOOKUP(J27,tour_num_4,3,FALSE),"")</f>
        <v>0</v>
      </c>
      <c r="J33" s="154">
        <f>_xlfn.IFERROR(VLOOKUP(J27,tour_num_4,4,FALSE),"")</f>
        <v>0</v>
      </c>
      <c r="K33" s="154">
        <f>_xlfn.IFERROR(VLOOKUP(J27,tour_num_4,5,FALSE),"")</f>
        <v>0</v>
      </c>
      <c r="L33" s="155">
        <f>_xlfn.IFERROR(VLOOKUP(J27,tour_num_4,7,FALSE),"")</f>
      </c>
      <c r="M33" s="153">
        <f>_xlfn.IFERROR(VLOOKUP(J27,tour_num_4,6,FALSE),"")</f>
        <v>0</v>
      </c>
    </row>
    <row r="34" spans="1:13" ht="13.5">
      <c r="A34" s="206">
        <f>_xlfn.IFERROR(VLOOKUP(C27,tour_num_5,2,FALSE),"")</f>
      </c>
      <c r="B34" s="154">
        <f>_xlfn.IFERROR(VLOOKUP(C27,tour_num_5,3,FALSE),"")</f>
        <v>0</v>
      </c>
      <c r="C34" s="154">
        <f>_xlfn.IFERROR(VLOOKUP(C27,tour_num_5,4,FALSE),"")</f>
        <v>0</v>
      </c>
      <c r="D34" s="154">
        <f>_xlfn.IFERROR(VLOOKUP(C27,tour_num_5,5,FALSE),"")</f>
        <v>0</v>
      </c>
      <c r="E34" s="155">
        <f>_xlfn.IFERROR(VLOOKUP(C27,tour_num_5,7,FALSE),"")</f>
      </c>
      <c r="F34" s="153">
        <f>_xlfn.IFERROR(VLOOKUP(C27,tour_num_5,6,FALSE),"")</f>
        <v>0</v>
      </c>
      <c r="G34" s="44"/>
      <c r="H34" s="156">
        <f>_xlfn.IFERROR(VLOOKUP(J27,tour_num_5,2,FALSE),"")</f>
      </c>
      <c r="I34" s="154">
        <f>_xlfn.IFERROR(VLOOKUP(J27,tour_num_5,3,FALSE),"")</f>
        <v>0</v>
      </c>
      <c r="J34" s="154">
        <f>_xlfn.IFERROR(VLOOKUP(J27,tour_num_5,4,FALSE),"")</f>
        <v>0</v>
      </c>
      <c r="K34" s="154">
        <f>_xlfn.IFERROR(VLOOKUP(J27,tour_num_5,5,FALSE),"")</f>
        <v>0</v>
      </c>
      <c r="L34" s="155">
        <f>_xlfn.IFERROR(VLOOKUP(J27,tour_num_5,7,FALSE),"")</f>
      </c>
      <c r="M34" s="153">
        <f>_xlfn.IFERROR(VLOOKUP(J27,tour_num_5,6,FALSE),"")</f>
        <v>0</v>
      </c>
    </row>
    <row r="35" spans="1:13" ht="3.75" customHeight="1">
      <c r="A35" s="61"/>
      <c r="B35" s="62"/>
      <c r="C35" s="62"/>
      <c r="D35" s="63"/>
      <c r="E35" s="64"/>
      <c r="F35" s="60"/>
      <c r="G35" s="65"/>
      <c r="H35" s="66"/>
      <c r="I35" s="67"/>
      <c r="J35" s="68"/>
      <c r="K35" s="68"/>
      <c r="L35" s="69"/>
      <c r="M35" s="70"/>
    </row>
    <row r="36" spans="1:13" ht="13.5">
      <c r="A36" s="46" t="s">
        <v>32</v>
      </c>
      <c r="B36" s="268">
        <f>SUM(B30:B34)</f>
        <v>0</v>
      </c>
      <c r="C36" s="268">
        <f>SUM(C30:C34)</f>
        <v>0</v>
      </c>
      <c r="D36" s="268">
        <f>MAX(D30:D34)</f>
        <v>0</v>
      </c>
      <c r="E36" s="269">
        <f>IF(C36&gt;0,B36/C36,0)</f>
        <v>0</v>
      </c>
      <c r="F36" s="267">
        <f>SUM(F30:F34)</f>
        <v>0</v>
      </c>
      <c r="G36" s="44"/>
      <c r="H36" s="46" t="s">
        <v>32</v>
      </c>
      <c r="I36" s="268">
        <f>SUM(I30:I34)</f>
        <v>0</v>
      </c>
      <c r="J36" s="268">
        <f>SUM(J30:J34)</f>
        <v>0</v>
      </c>
      <c r="K36" s="268">
        <f>MAX(K30:K34)</f>
        <v>0</v>
      </c>
      <c r="L36" s="269">
        <f>IF(J36&gt;0,I36/J36,0)</f>
        <v>0</v>
      </c>
      <c r="M36" s="267">
        <f>SUM(M30:M34)</f>
        <v>0</v>
      </c>
    </row>
    <row r="37" spans="1:13" ht="5.25" customHeight="1">
      <c r="A37" s="47"/>
      <c r="B37" s="33"/>
      <c r="C37" s="33"/>
      <c r="D37" s="28"/>
      <c r="E37" s="33"/>
      <c r="F37" s="48"/>
      <c r="G37" s="49"/>
      <c r="H37" s="47"/>
      <c r="I37" s="33"/>
      <c r="J37" s="33"/>
      <c r="K37" s="28"/>
      <c r="L37" s="33"/>
      <c r="M37" s="48"/>
    </row>
    <row r="38" spans="1:13" ht="13.5">
      <c r="A38" s="50" t="s">
        <v>603</v>
      </c>
      <c r="B38" s="270">
        <f>IF(Participants!G11="","",Participants!G11)</f>
      </c>
      <c r="C38" s="51" t="s">
        <v>35</v>
      </c>
      <c r="D38" s="52"/>
      <c r="E38" s="52"/>
      <c r="F38" s="53">
        <f>MAX(O29:S29)</f>
        <v>0</v>
      </c>
      <c r="G38" s="54"/>
      <c r="H38" s="50" t="s">
        <v>603</v>
      </c>
      <c r="I38" s="270">
        <f>IF(Participants!G15="","",Participants!G15)</f>
      </c>
      <c r="J38" s="51" t="s">
        <v>35</v>
      </c>
      <c r="K38" s="52"/>
      <c r="L38" s="52"/>
      <c r="M38" s="53">
        <f>MAX(U29:Y29)</f>
        <v>0</v>
      </c>
    </row>
    <row r="39" spans="1:13" ht="13.5">
      <c r="A39" s="50" t="s">
        <v>33</v>
      </c>
      <c r="B39" s="263">
        <f>IF($R$6=0,_xlfn.IFERROR(VLOOKUP(C27,classement_final,4,FALSE),""),0)</f>
        <v>0</v>
      </c>
      <c r="C39" s="150"/>
      <c r="D39" s="151"/>
      <c r="E39" s="30"/>
      <c r="F39" s="143"/>
      <c r="G39" s="143"/>
      <c r="H39" s="50" t="s">
        <v>33</v>
      </c>
      <c r="I39" s="263">
        <f>IF($R$6=0,_xlfn.IFERROR(VLOOKUP(J27,classement_final,4,FALSE),""),0)</f>
        <v>0</v>
      </c>
      <c r="J39" s="150"/>
      <c r="K39" s="151"/>
      <c r="L39" s="30"/>
      <c r="M39" s="143"/>
    </row>
    <row r="40" spans="1:13" ht="13.5">
      <c r="A40" s="50" t="s">
        <v>34</v>
      </c>
      <c r="B40" s="270">
        <f>_xlfn.IFERROR(VLOOKUP(B39,tableau_points_ranking,2,FALSE),0)</f>
        <v>0</v>
      </c>
      <c r="C40" s="55" t="s">
        <v>36</v>
      </c>
      <c r="D40" s="52"/>
      <c r="E40" s="29"/>
      <c r="F40" s="56"/>
      <c r="G40" s="56"/>
      <c r="H40" s="50" t="s">
        <v>34</v>
      </c>
      <c r="I40" s="270">
        <f>_xlfn.IFERROR(VLOOKUP(I39,tableau_points_ranking,2,FALSE),0)</f>
        <v>0</v>
      </c>
      <c r="J40" s="55" t="s">
        <v>36</v>
      </c>
      <c r="K40" s="52"/>
      <c r="L40" s="29"/>
      <c r="M40" s="56"/>
    </row>
    <row r="41" spans="1:13" ht="12.75">
      <c r="A41" s="57" t="s">
        <v>602</v>
      </c>
      <c r="B41" s="271">
        <f>SUM(B38,B40,F36)</f>
        <v>0</v>
      </c>
      <c r="C41" s="58"/>
      <c r="D41" s="144"/>
      <c r="E41" s="144"/>
      <c r="F41" s="145"/>
      <c r="G41" s="143"/>
      <c r="H41" s="57" t="s">
        <v>602</v>
      </c>
      <c r="I41" s="271">
        <f>SUM(I38,I40,M36)</f>
        <v>0</v>
      </c>
      <c r="J41" s="58"/>
      <c r="K41" s="144"/>
      <c r="L41" s="144"/>
      <c r="M41" s="145"/>
    </row>
    <row r="42" spans="1:13" ht="12.75" customHeight="1">
      <c r="A42" s="34"/>
      <c r="B42" s="36"/>
      <c r="C42" s="36"/>
      <c r="D42" s="36"/>
      <c r="E42" s="36"/>
      <c r="F42" s="36"/>
      <c r="G42" s="26"/>
      <c r="H42" s="37"/>
      <c r="I42" s="34"/>
      <c r="J42" s="36"/>
      <c r="K42" s="36"/>
      <c r="L42" s="36"/>
      <c r="M42" s="36"/>
    </row>
    <row r="43" spans="1:13" ht="12.75">
      <c r="A43" s="38" t="s">
        <v>46</v>
      </c>
      <c r="B43" s="39"/>
      <c r="C43" s="403">
        <f>IF(Participants!D12="","",Participants!D12)</f>
      </c>
      <c r="D43" s="403"/>
      <c r="E43" s="403"/>
      <c r="F43" s="404"/>
      <c r="G43" s="71"/>
      <c r="H43" s="38" t="s">
        <v>48</v>
      </c>
      <c r="I43" s="128"/>
      <c r="J43" s="403">
        <f>IF(Participants!D16="","",Participants!D16)</f>
      </c>
      <c r="K43" s="403"/>
      <c r="L43" s="403"/>
      <c r="M43" s="404"/>
    </row>
    <row r="44" spans="1:25" ht="12.75">
      <c r="A44" s="41" t="str">
        <f>IF(Participants!F12="","",Participants!F12)</f>
        <v> </v>
      </c>
      <c r="B44" s="42" t="s">
        <v>30</v>
      </c>
      <c r="C44" s="391" t="str">
        <f>IF(Participants!E12="","",Participants!E12)</f>
        <v> </v>
      </c>
      <c r="D44" s="391"/>
      <c r="E44" s="391"/>
      <c r="F44" s="392"/>
      <c r="G44" s="71"/>
      <c r="H44" s="148" t="str">
        <f>IF(Participants!F16="","",Participants!F16)</f>
        <v> </v>
      </c>
      <c r="I44" s="42" t="s">
        <v>30</v>
      </c>
      <c r="J44" s="402" t="str">
        <f>IF(Participants!E16="","",Participants!E16)</f>
        <v> </v>
      </c>
      <c r="K44" s="402"/>
      <c r="L44" s="402"/>
      <c r="M44" s="392"/>
      <c r="O44" s="398">
        <f>C43</f>
      </c>
      <c r="P44" s="399"/>
      <c r="Q44" s="399"/>
      <c r="R44" s="399"/>
      <c r="S44" s="400"/>
      <c r="U44" s="398">
        <f>J43</f>
      </c>
      <c r="V44" s="399"/>
      <c r="W44" s="399"/>
      <c r="X44" s="399"/>
      <c r="Y44" s="400"/>
    </row>
    <row r="45" spans="1:25" ht="16.5">
      <c r="A45" s="135"/>
      <c r="B45" s="131" t="s">
        <v>7</v>
      </c>
      <c r="C45" s="131" t="s">
        <v>8</v>
      </c>
      <c r="D45" s="131" t="s">
        <v>9</v>
      </c>
      <c r="E45" s="132" t="s">
        <v>11</v>
      </c>
      <c r="F45" s="120" t="s">
        <v>31</v>
      </c>
      <c r="G45" s="135"/>
      <c r="H45" s="135"/>
      <c r="I45" s="131" t="s">
        <v>7</v>
      </c>
      <c r="J45" s="131" t="s">
        <v>8</v>
      </c>
      <c r="K45" s="134" t="s">
        <v>9</v>
      </c>
      <c r="L45" s="132" t="s">
        <v>11</v>
      </c>
      <c r="M45" s="43" t="s">
        <v>31</v>
      </c>
      <c r="O45" s="158">
        <f>IF(F46&gt;1,E46,0)</f>
        <v>0</v>
      </c>
      <c r="P45" s="158">
        <f>IF(F47&gt;1,E47,0)</f>
        <v>0</v>
      </c>
      <c r="Q45" s="158">
        <f>IF(F48&gt;1,E48,0)</f>
        <v>0</v>
      </c>
      <c r="R45" s="158">
        <f>IF(F49&gt;1,E49,0)</f>
        <v>0</v>
      </c>
      <c r="S45" s="158">
        <f>IF(F50&gt;1,E50,0)</f>
        <v>0</v>
      </c>
      <c r="T45" s="99"/>
      <c r="U45" s="158">
        <f>IF(M46&gt;1,L46,0)</f>
        <v>0</v>
      </c>
      <c r="V45" s="158">
        <f>IF(M47&gt;1,L47,0)</f>
        <v>0</v>
      </c>
      <c r="W45" s="158">
        <f>IF(M48&gt;1,L48,0)</f>
        <v>0</v>
      </c>
      <c r="X45" s="158">
        <f>IF(M49&gt;1,L49,0)</f>
        <v>0</v>
      </c>
      <c r="Y45" s="158">
        <f>IF(M50&gt;1,L50,0)</f>
        <v>0</v>
      </c>
    </row>
    <row r="46" spans="1:13" ht="13.5">
      <c r="A46" s="206">
        <f>IF(C43='Phase de poule'!C4,'Phase de poule'!C5,IF(C43='Phase de poule'!C5,'Phase de poule'!C4," "))</f>
      </c>
      <c r="B46" s="153">
        <f>_xlfn.IFERROR(VLOOKUP(C43,poule_a_t_1,2,FALSE),"")</f>
        <v>0</v>
      </c>
      <c r="C46" s="153">
        <f>_xlfn.IFERROR(VLOOKUP(C43,poule_a_t_1,3,FALSE),"")</f>
        <v>0</v>
      </c>
      <c r="D46" s="153">
        <f>_xlfn.IFERROR(VLOOKUP(C43,poule_a_t_1,4,FALSE),"")</f>
        <v>0</v>
      </c>
      <c r="E46" s="119">
        <f>_xlfn.IFERROR(VLOOKUP(C43,poule_a_t_1,6,FALSE),"")</f>
      </c>
      <c r="F46" s="153">
        <f>_xlfn.IFERROR(VLOOKUP(C43,poule_a_t_1,5,FALSE),"")</f>
        <v>0</v>
      </c>
      <c r="G46" s="72"/>
      <c r="H46" s="206">
        <f>IF(J43='Phase de poule'!C6,'Phase de poule'!C7,IF(J43='Phase de poule'!C7,'Phase de poule'!C6," "))</f>
      </c>
      <c r="I46" s="153">
        <f>_xlfn.IFERROR(VLOOKUP(J43,poule_b_t_1,2,FALSE),"")</f>
        <v>0</v>
      </c>
      <c r="J46" s="153">
        <f>_xlfn.IFERROR(VLOOKUP(J43,poule_b_t_1,3,FALSE),"")</f>
        <v>0</v>
      </c>
      <c r="K46" s="153">
        <f>_xlfn.IFERROR(VLOOKUP(J43,poule_b_t_1,4,FALSE),"")</f>
        <v>0</v>
      </c>
      <c r="L46" s="119">
        <f>_xlfn.IFERROR(VLOOKUP(J43,poule_b_t_1,6,FALSE),"")</f>
      </c>
      <c r="M46" s="153">
        <f>_xlfn.IFERROR(VLOOKUP(J43,poule_b_t_1,5,FALSE),"")</f>
        <v>0</v>
      </c>
    </row>
    <row r="47" spans="1:13" ht="13.5">
      <c r="A47" s="206">
        <f>IF(C43='Phase de poule'!C11,'Phase de poule'!C12,IF(C43='Phase de poule'!C12,'Phase de poule'!C11," "))</f>
      </c>
      <c r="B47" s="153">
        <f>_xlfn.IFERROR(VLOOKUP(C43,poule_a_t_2,2,FALSE),"")</f>
        <v>0</v>
      </c>
      <c r="C47" s="153">
        <f>_xlfn.IFERROR(VLOOKUP(C43,poule_a_t_2,3,FALSE),"")</f>
        <v>0</v>
      </c>
      <c r="D47" s="153">
        <f>_xlfn.IFERROR(VLOOKUP(C43,poule_a_t_2,4,FALSE),"")</f>
        <v>0</v>
      </c>
      <c r="E47" s="119">
        <f>_xlfn.IFERROR(VLOOKUP(C43,poule_a_t_2,6,FALSE),"")</f>
      </c>
      <c r="F47" s="153">
        <f>_xlfn.IFERROR(VLOOKUP(C43,poule_a_t_2,5,FALSE),"")</f>
        <v>0</v>
      </c>
      <c r="G47" s="72"/>
      <c r="H47" s="206">
        <f>IF(J43='Phase de poule'!C13,'Phase de poule'!C14,IF(J43='Phase de poule'!C14,'Phase de poule'!C13," "))</f>
      </c>
      <c r="I47" s="153">
        <f>_xlfn.IFERROR(VLOOKUP(J43,poule_b_t_2,2,FALSE),"")</f>
        <v>0</v>
      </c>
      <c r="J47" s="153">
        <f>_xlfn.IFERROR(VLOOKUP(J43,poule_b_t_2,3,FALSE),"")</f>
        <v>0</v>
      </c>
      <c r="K47" s="153">
        <f>_xlfn.IFERROR(VLOOKUP(J43,poule_b_t_2,4,FALSE),"")</f>
        <v>0</v>
      </c>
      <c r="L47" s="119">
        <f>_xlfn.IFERROR(VLOOKUP(J43,poule_b_t_2,6,FALSE),"")</f>
      </c>
      <c r="M47" s="153">
        <f>_xlfn.IFERROR(VLOOKUP(J43,poule_b_t_2,5,FALSE),"")</f>
        <v>0</v>
      </c>
    </row>
    <row r="48" spans="1:13" ht="13.5">
      <c r="A48" s="206">
        <f>IF(C43='Phase de poule'!C18,'Phase de poule'!C19,IF(C43='Phase de poule'!C19,'Phase de poule'!C18," "))</f>
      </c>
      <c r="B48" s="153">
        <f>_xlfn.IFERROR(VLOOKUP(C43,poule_a_t_3,2,FALSE),"")</f>
        <v>0</v>
      </c>
      <c r="C48" s="153">
        <f>_xlfn.IFERROR(VLOOKUP(C43,poule_a_t_3,3,FALSE),"")</f>
        <v>0</v>
      </c>
      <c r="D48" s="153">
        <f>_xlfn.IFERROR(VLOOKUP(C43,poule_a_t_3,4,FALSE),"")</f>
        <v>0</v>
      </c>
      <c r="E48" s="119">
        <f>_xlfn.IFERROR(VLOOKUP(C43,poule_a_t_3,6,FALSE),"")</f>
      </c>
      <c r="F48" s="153">
        <f>_xlfn.IFERROR(VLOOKUP(C43,poule_a_t_3,5,FALSE),"")</f>
        <v>0</v>
      </c>
      <c r="G48" s="72"/>
      <c r="H48" s="206">
        <f>IF(J43='Phase de poule'!C20,'Phase de poule'!C21,IF(J43='Phase de poule'!C21,'Phase de poule'!C20," "))</f>
      </c>
      <c r="I48" s="153">
        <f>_xlfn.IFERROR(VLOOKUP(J43,poule_b_t_3,2,FALSE),"")</f>
        <v>0</v>
      </c>
      <c r="J48" s="153">
        <f>_xlfn.IFERROR(VLOOKUP(J43,poule_b_t_3,3,FALSE),"")</f>
        <v>0</v>
      </c>
      <c r="K48" s="153">
        <f>_xlfn.IFERROR(VLOOKUP(J43,poule_b_t_3,4,FALSE),"")</f>
        <v>0</v>
      </c>
      <c r="L48" s="119">
        <f>_xlfn.IFERROR(VLOOKUP(J43,poule_b_t_3,6,FALSE),"")</f>
      </c>
      <c r="M48" s="153">
        <f>_xlfn.IFERROR(VLOOKUP(J43,poule_b_t_3,5,FALSE),"")</f>
        <v>0</v>
      </c>
    </row>
    <row r="49" spans="1:13" ht="13.5">
      <c r="A49" s="206">
        <f>_xlfn.IFERROR(VLOOKUP(C43,tour_num_4,2,FALSE),"")</f>
      </c>
      <c r="B49" s="154">
        <f>_xlfn.IFERROR(VLOOKUP(C43,tour_num_4,3,FALSE),"")</f>
        <v>0</v>
      </c>
      <c r="C49" s="154">
        <f>_xlfn.IFERROR(VLOOKUP(C43,tour_num_4,4,FALSE),"")</f>
        <v>0</v>
      </c>
      <c r="D49" s="154">
        <f>_xlfn.IFERROR(VLOOKUP(C43,tour_num_4,5,FALSE),"")</f>
        <v>0</v>
      </c>
      <c r="E49" s="155">
        <f>_xlfn.IFERROR(VLOOKUP(C43,tour_num_4,7,FALSE),"")</f>
      </c>
      <c r="F49" s="153">
        <f>_xlfn.IFERROR(VLOOKUP(C43,tour_num_4,6,FALSE),"")</f>
        <v>0</v>
      </c>
      <c r="G49" s="72"/>
      <c r="H49" s="206">
        <f>_xlfn.IFERROR(VLOOKUP(J43,tour_num_4,2,FALSE),"")</f>
      </c>
      <c r="I49" s="154">
        <f>_xlfn.IFERROR(VLOOKUP(J43,tour_num_4,3,FALSE),"")</f>
        <v>0</v>
      </c>
      <c r="J49" s="154">
        <f>_xlfn.IFERROR(VLOOKUP(J43,tour_num_4,4,FALSE),"")</f>
        <v>0</v>
      </c>
      <c r="K49" s="154">
        <f>_xlfn.IFERROR(VLOOKUP(J43,tour_num_4,5,FALSE),"")</f>
        <v>0</v>
      </c>
      <c r="L49" s="155">
        <f>_xlfn.IFERROR(VLOOKUP(J43,tour_num_4,7,FALSE),"")</f>
      </c>
      <c r="M49" s="153">
        <f>_xlfn.IFERROR(VLOOKUP(J43,tour_num_4,6,FALSE),"")</f>
        <v>0</v>
      </c>
    </row>
    <row r="50" spans="1:13" ht="13.5">
      <c r="A50" s="206">
        <f>_xlfn.IFERROR(VLOOKUP(C43,tour_num_5,2,FALSE),"")</f>
      </c>
      <c r="B50" s="154">
        <f>_xlfn.IFERROR(VLOOKUP(C43,tour_num_5,3,FALSE),"")</f>
        <v>0</v>
      </c>
      <c r="C50" s="154">
        <f>_xlfn.IFERROR(VLOOKUP(C43,tour_num_5,4,FALSE),"")</f>
        <v>0</v>
      </c>
      <c r="D50" s="154">
        <f>_xlfn.IFERROR(VLOOKUP(C43,tour_num_5,5,FALSE),"")</f>
        <v>0</v>
      </c>
      <c r="E50" s="155">
        <f>_xlfn.IFERROR(VLOOKUP(C43,tour_num_5,7,FALSE),"")</f>
      </c>
      <c r="F50" s="153">
        <f>_xlfn.IFERROR(VLOOKUP(C43,tour_num_5,6,FALSE),"")</f>
        <v>0</v>
      </c>
      <c r="G50" s="72"/>
      <c r="H50" s="206">
        <f>_xlfn.IFERROR(VLOOKUP(J43,tour_num_5,2,FALSE),"")</f>
      </c>
      <c r="I50" s="154">
        <f>_xlfn.IFERROR(VLOOKUP(J43,tour_num_5,3,FALSE),"")</f>
        <v>0</v>
      </c>
      <c r="J50" s="154">
        <f>_xlfn.IFERROR(VLOOKUP(J43,tour_num_5,4,FALSE),"")</f>
        <v>0</v>
      </c>
      <c r="K50" s="154">
        <f>_xlfn.IFERROR(VLOOKUP(J43,tour_num_5,5,FALSE),"")</f>
        <v>0</v>
      </c>
      <c r="L50" s="155">
        <f>_xlfn.IFERROR(VLOOKUP(J43,tour_num_5,7,FALSE),"")</f>
      </c>
      <c r="M50" s="153">
        <f>_xlfn.IFERROR(VLOOKUP(J43,tour_num_5,6,FALSE),"")</f>
        <v>0</v>
      </c>
    </row>
    <row r="51" spans="1:13" ht="3.75" customHeight="1">
      <c r="A51" s="61"/>
      <c r="B51" s="62"/>
      <c r="C51" s="62"/>
      <c r="D51" s="63"/>
      <c r="E51" s="64"/>
      <c r="F51" s="60"/>
      <c r="G51" s="72"/>
      <c r="H51" s="135"/>
      <c r="I51" s="67"/>
      <c r="J51" s="68"/>
      <c r="K51" s="68"/>
      <c r="L51" s="69"/>
      <c r="M51" s="70"/>
    </row>
    <row r="52" spans="1:13" ht="13.5">
      <c r="A52" s="46" t="s">
        <v>32</v>
      </c>
      <c r="B52" s="268">
        <f>SUM(B46:B50)</f>
        <v>0</v>
      </c>
      <c r="C52" s="268">
        <f>SUM(C46:C50)</f>
        <v>0</v>
      </c>
      <c r="D52" s="268">
        <f>MAX(D46:D50)</f>
        <v>0</v>
      </c>
      <c r="E52" s="269">
        <f>IF(C52&gt;0,B52/C52,0)</f>
        <v>0</v>
      </c>
      <c r="F52" s="267">
        <f>SUM(F46:F50)</f>
        <v>0</v>
      </c>
      <c r="G52" s="72"/>
      <c r="H52" s="46" t="s">
        <v>32</v>
      </c>
      <c r="I52" s="268">
        <f>SUM(I46:I50)</f>
        <v>0</v>
      </c>
      <c r="J52" s="268">
        <f>SUM(J46:J50)</f>
        <v>0</v>
      </c>
      <c r="K52" s="268">
        <f>MAX(K46:K50)</f>
        <v>0</v>
      </c>
      <c r="L52" s="269">
        <f>IF(J52&gt;0,I52/J52,0)</f>
        <v>0</v>
      </c>
      <c r="M52" s="267">
        <f>SUM(M46:M50)</f>
        <v>0</v>
      </c>
    </row>
    <row r="53" spans="1:13" ht="5.25" customHeight="1">
      <c r="A53" s="47"/>
      <c r="B53" s="33"/>
      <c r="C53" s="33"/>
      <c r="D53" s="28"/>
      <c r="E53" s="33"/>
      <c r="F53" s="48"/>
      <c r="G53" s="47"/>
      <c r="H53" s="47"/>
      <c r="I53" s="33"/>
      <c r="J53" s="33"/>
      <c r="K53" s="28"/>
      <c r="L53" s="33"/>
      <c r="M53" s="48"/>
    </row>
    <row r="54" spans="1:13" ht="13.5">
      <c r="A54" s="50" t="s">
        <v>603</v>
      </c>
      <c r="B54" s="270">
        <f>IF(Participants!G12="","",Participants!G12)</f>
      </c>
      <c r="C54" s="51" t="s">
        <v>35</v>
      </c>
      <c r="D54" s="52"/>
      <c r="E54" s="52"/>
      <c r="F54" s="53">
        <f>MAX(O45:S45)</f>
        <v>0</v>
      </c>
      <c r="G54" s="73"/>
      <c r="H54" s="50" t="s">
        <v>603</v>
      </c>
      <c r="I54" s="270">
        <f>IF(Participants!G16="","",Participants!G16)</f>
      </c>
      <c r="J54" s="51" t="s">
        <v>35</v>
      </c>
      <c r="K54" s="52"/>
      <c r="L54" s="52"/>
      <c r="M54" s="53">
        <f>MAX(U45:Y45)</f>
        <v>0</v>
      </c>
    </row>
    <row r="55" spans="1:13" ht="13.5">
      <c r="A55" s="50" t="s">
        <v>33</v>
      </c>
      <c r="B55" s="263">
        <f>IF($R$6=0,_xlfn.IFERROR(VLOOKUP(C43,classement_final,4,FALSE),""),0)</f>
        <v>0</v>
      </c>
      <c r="C55" s="150"/>
      <c r="D55" s="151"/>
      <c r="E55" s="30">
        <f>IF(Participants!$H12&lt;&gt;"",Participants!$H12,"")</f>
      </c>
      <c r="F55" s="143"/>
      <c r="G55" s="135"/>
      <c r="H55" s="50" t="s">
        <v>33</v>
      </c>
      <c r="I55" s="263">
        <f>IF($R$6=0,_xlfn.IFERROR(VLOOKUP(J43,classement_final,4,FALSE),""),0)</f>
        <v>0</v>
      </c>
      <c r="J55" s="150"/>
      <c r="K55" s="151"/>
      <c r="L55" s="30">
        <f>IF(Participants!$H16&lt;&gt;"",Participants!$H16,"")</f>
      </c>
      <c r="M55" s="143"/>
    </row>
    <row r="56" spans="1:13" ht="13.5">
      <c r="A56" s="50" t="s">
        <v>34</v>
      </c>
      <c r="B56" s="270">
        <f>_xlfn.IFERROR(VLOOKUP(B55,tableau_points_ranking,2,FALSE),0)</f>
        <v>0</v>
      </c>
      <c r="C56" s="55" t="s">
        <v>36</v>
      </c>
      <c r="D56" s="52"/>
      <c r="E56" s="29"/>
      <c r="F56" s="56"/>
      <c r="G56" s="74"/>
      <c r="H56" s="50" t="s">
        <v>34</v>
      </c>
      <c r="I56" s="270">
        <f>_xlfn.IFERROR(VLOOKUP(I55,tableau_points_ranking,2,FALSE),0)</f>
        <v>0</v>
      </c>
      <c r="J56" s="55" t="s">
        <v>36</v>
      </c>
      <c r="K56" s="52"/>
      <c r="L56" s="29"/>
      <c r="M56" s="56"/>
    </row>
    <row r="57" spans="1:13" ht="12.75">
      <c r="A57" s="57" t="s">
        <v>602</v>
      </c>
      <c r="B57" s="271">
        <f>SUM(B54,B56,F52)</f>
        <v>0</v>
      </c>
      <c r="C57" s="58"/>
      <c r="D57" s="144"/>
      <c r="E57" s="144"/>
      <c r="F57" s="145"/>
      <c r="G57" s="135"/>
      <c r="H57" s="57" t="s">
        <v>602</v>
      </c>
      <c r="I57" s="271">
        <f>SUM(I54,I56,M52)</f>
        <v>0</v>
      </c>
      <c r="J57" s="58"/>
      <c r="K57" s="144"/>
      <c r="L57" s="144"/>
      <c r="M57" s="145"/>
    </row>
    <row r="58" spans="1:13" ht="12.75">
      <c r="A58" s="36"/>
      <c r="B58" s="36"/>
      <c r="C58" s="36"/>
      <c r="D58" s="36"/>
      <c r="E58" s="36"/>
      <c r="F58" s="36"/>
      <c r="G58" s="36"/>
      <c r="H58" s="37"/>
      <c r="I58" s="36"/>
      <c r="J58" s="36"/>
      <c r="K58" s="36"/>
      <c r="L58" s="36"/>
      <c r="M58" s="36"/>
    </row>
    <row r="59" spans="1:13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 customHeight="1">
      <c r="A64" s="38" t="s">
        <v>39</v>
      </c>
      <c r="B64" s="39"/>
      <c r="C64" s="403">
        <f>IF(Participants!D18="","",Participants!D18)</f>
      </c>
      <c r="D64" s="403"/>
      <c r="E64" s="403"/>
      <c r="F64" s="404"/>
      <c r="G64" s="4"/>
      <c r="H64" s="75" t="s">
        <v>24</v>
      </c>
      <c r="I64" s="76"/>
      <c r="J64" s="76"/>
      <c r="K64" s="77"/>
      <c r="L64" s="36"/>
      <c r="M64" s="4"/>
    </row>
    <row r="65" spans="1:19" ht="12.75">
      <c r="A65" s="41" t="str">
        <f>IF(Participants!F18="","",Participants!F18)</f>
        <v> </v>
      </c>
      <c r="B65" s="42" t="s">
        <v>30</v>
      </c>
      <c r="C65" s="391" t="str">
        <f>IF(Participants!E18="","",Participants!E18)</f>
        <v> </v>
      </c>
      <c r="D65" s="391"/>
      <c r="E65" s="391"/>
      <c r="F65" s="392"/>
      <c r="G65" s="4"/>
      <c r="H65" s="78" t="s">
        <v>25</v>
      </c>
      <c r="I65" s="79"/>
      <c r="J65" s="80"/>
      <c r="K65" s="79"/>
      <c r="L65" s="81">
        <f>IF(B20="","",SUM(B20,B36,B52,I20,I36,I52,B73,B89,B105))</f>
        <v>0</v>
      </c>
      <c r="M65" s="4"/>
      <c r="O65" s="398">
        <f>C64</f>
      </c>
      <c r="P65" s="399"/>
      <c r="Q65" s="399"/>
      <c r="R65" s="399"/>
      <c r="S65" s="400"/>
    </row>
    <row r="66" spans="1:19" ht="16.5" customHeight="1">
      <c r="A66" s="130"/>
      <c r="B66" s="131" t="s">
        <v>7</v>
      </c>
      <c r="C66" s="131" t="s">
        <v>8</v>
      </c>
      <c r="D66" s="134" t="s">
        <v>9</v>
      </c>
      <c r="E66" s="132" t="s">
        <v>11</v>
      </c>
      <c r="F66" s="43" t="s">
        <v>31</v>
      </c>
      <c r="G66" s="4"/>
      <c r="H66" s="82" t="s">
        <v>26</v>
      </c>
      <c r="I66" s="83"/>
      <c r="J66" s="84"/>
      <c r="K66" s="83"/>
      <c r="L66" s="81">
        <f>IF(C20="","",SUM(C20,C36,C52,J20,J36,J52,C73,C89,C105))</f>
        <v>0</v>
      </c>
      <c r="M66" s="4"/>
      <c r="O66" s="158">
        <f>IF(F67&gt;1,E67,0)</f>
        <v>0</v>
      </c>
      <c r="P66" s="158">
        <f>IF(F68&gt;1,E68,0)</f>
        <v>0</v>
      </c>
      <c r="Q66" s="158">
        <f>IF(F69&gt;1,E69,0)</f>
        <v>0</v>
      </c>
      <c r="R66" s="158">
        <f>IF(F70&gt;1,E70,0)</f>
        <v>0</v>
      </c>
      <c r="S66" s="158">
        <f>IF(F71&gt;1,E71,0)</f>
        <v>0</v>
      </c>
    </row>
    <row r="67" spans="1:13" ht="12.75" customHeight="1">
      <c r="A67" s="206">
        <f>IF(C64='Phase de poule'!C8,'Phase de poule'!C9,IF(C64='Phase de poule'!C9,'Phase de poule'!C8," "))</f>
      </c>
      <c r="B67" s="153">
        <f>_xlfn.IFERROR(VLOOKUP(C64,poule_c_t_1,2,FALSE),"")</f>
        <v>0</v>
      </c>
      <c r="C67" s="153">
        <f>_xlfn.IFERROR(VLOOKUP(C64,poule_c_t_1,3,FALSE),"")</f>
        <v>0</v>
      </c>
      <c r="D67" s="153">
        <f>_xlfn.IFERROR(VLOOKUP(C64,poule_c_t_1,4,FALSE),"")</f>
        <v>0</v>
      </c>
      <c r="E67" s="119">
        <f>_xlfn.IFERROR(VLOOKUP(C64,poule_c_t_1,6,FALSE),"")</f>
      </c>
      <c r="F67" s="153">
        <f>_xlfn.IFERROR(VLOOKUP(C64,poule_c_t_1,5,FALSE),"")</f>
        <v>0</v>
      </c>
      <c r="G67" s="4"/>
      <c r="H67" s="82" t="s">
        <v>27</v>
      </c>
      <c r="I67" s="83"/>
      <c r="J67" s="84"/>
      <c r="K67" s="83"/>
      <c r="L67" s="85">
        <f>IF(D20="","",MAX(D20,D36,D52,K20,K36,K52,D73,D89,D105))</f>
        <v>0</v>
      </c>
      <c r="M67" s="4"/>
    </row>
    <row r="68" spans="1:13" ht="12.75" customHeight="1">
      <c r="A68" s="206">
        <f>IF(C64='Phase de poule'!C15,'Phase de poule'!C16,IF(C64='Phase de poule'!C16,'Phase de poule'!C15," "))</f>
      </c>
      <c r="B68" s="153">
        <f>_xlfn.IFERROR(VLOOKUP(C64,poule_c_t_2,2,FALSE),"")</f>
        <v>0</v>
      </c>
      <c r="C68" s="153">
        <f>_xlfn.IFERROR(VLOOKUP(C64,poule_c_t_2,3,FALSE),"")</f>
        <v>0</v>
      </c>
      <c r="D68" s="153">
        <f>_xlfn.IFERROR(VLOOKUP(C64,poule_c_t_2,4,FALSE),"")</f>
        <v>0</v>
      </c>
      <c r="E68" s="119">
        <f>_xlfn.IFERROR(VLOOKUP(C64,poule_c_t_2,6,FALSE),"")</f>
      </c>
      <c r="F68" s="153">
        <f>_xlfn.IFERROR(VLOOKUP(C64,poule_c_t_2,5,FALSE),"")</f>
        <v>0</v>
      </c>
      <c r="G68" s="4"/>
      <c r="H68" s="82" t="s">
        <v>41</v>
      </c>
      <c r="I68" s="83"/>
      <c r="J68" s="86"/>
      <c r="K68" s="87"/>
      <c r="L68" s="88">
        <f>MAX(F22,F38,F54,F75,F91,F107,M22,M38,M54)</f>
        <v>0</v>
      </c>
      <c r="M68" s="4"/>
    </row>
    <row r="69" spans="1:13" ht="12.75">
      <c r="A69" s="206">
        <f>IF(C64='Phase de poule'!C22,'Phase de poule'!C23,IF(C64='Phase de poule'!C23,'Phase de poule'!C22," "))</f>
      </c>
      <c r="B69" s="153">
        <f>_xlfn.IFERROR(VLOOKUP(C64,poule_c_t_3,2,FALSE),"")</f>
        <v>0</v>
      </c>
      <c r="C69" s="153">
        <f>_xlfn.IFERROR(VLOOKUP(C64,poule_c_t_3,3,FALSE),"")</f>
        <v>0</v>
      </c>
      <c r="D69" s="153">
        <f>_xlfn.IFERROR(VLOOKUP(C64,poule_c_t_3,4,FALSE),"")</f>
        <v>0</v>
      </c>
      <c r="E69" s="119">
        <f>_xlfn.IFERROR(VLOOKUP(C64,poule_c_t_3,6,FALSE),"")</f>
      </c>
      <c r="F69" s="153">
        <f>_xlfn.IFERROR(VLOOKUP(C64,poule_c_t_3,5,FALSE),"")</f>
        <v>0</v>
      </c>
      <c r="G69" s="4"/>
      <c r="H69" s="4"/>
      <c r="I69" s="4"/>
      <c r="J69" s="4"/>
      <c r="K69" s="4"/>
      <c r="L69" s="99"/>
      <c r="M69" s="4"/>
    </row>
    <row r="70" spans="1:13" ht="12.75">
      <c r="A70" s="206">
        <f>_xlfn.IFERROR(VLOOKUP(C64,tour_num_4,2,FALSE),"")</f>
      </c>
      <c r="B70" s="154">
        <f>_xlfn.IFERROR(VLOOKUP(C64,tour_num_4,3,FALSE),"")</f>
        <v>0</v>
      </c>
      <c r="C70" s="154">
        <f>_xlfn.IFERROR(VLOOKUP(C64,tour_num_4,4,FALSE),"")</f>
        <v>0</v>
      </c>
      <c r="D70" s="154">
        <f>_xlfn.IFERROR(VLOOKUP(C64,tour_num_4,5,FALSE),"")</f>
        <v>0</v>
      </c>
      <c r="E70" s="155">
        <f>_xlfn.IFERROR(VLOOKUP(C64,tour_num_4,7,FALSE),"")</f>
      </c>
      <c r="F70" s="153">
        <f>_xlfn.IFERROR(VLOOKUP(C64,tour_num_4,6,FALSE),"")</f>
        <v>0</v>
      </c>
      <c r="G70" s="4"/>
      <c r="H70" s="4"/>
      <c r="I70" s="4"/>
      <c r="J70" s="4"/>
      <c r="K70" s="4"/>
      <c r="L70" s="99"/>
      <c r="M70" s="4"/>
    </row>
    <row r="71" spans="1:13" ht="12.75" customHeight="1">
      <c r="A71" s="206">
        <f>_xlfn.IFERROR(VLOOKUP(C64,tour_num_5,2,FALSE),"")</f>
      </c>
      <c r="B71" s="154">
        <f>_xlfn.IFERROR(VLOOKUP(C64,tour_num_5,3,FALSE),"")</f>
        <v>0</v>
      </c>
      <c r="C71" s="154">
        <f>_xlfn.IFERROR(VLOOKUP(C64,tour_num_5,4,FALSE),"")</f>
        <v>0</v>
      </c>
      <c r="D71" s="154">
        <f>_xlfn.IFERROR(VLOOKUP(C64,tour_num_5,5,FALSE),"")</f>
        <v>0</v>
      </c>
      <c r="E71" s="155">
        <f>_xlfn.IFERROR(VLOOKUP(C64,tour_num_5,7,FALSE),"")</f>
      </c>
      <c r="F71" s="153">
        <f>_xlfn.IFERROR(VLOOKUP(C64,tour_num_5,6,FALSE),"")</f>
        <v>0</v>
      </c>
      <c r="G71" s="4"/>
      <c r="H71" s="82" t="s">
        <v>28</v>
      </c>
      <c r="I71" s="83"/>
      <c r="J71" s="89"/>
      <c r="K71" s="90"/>
      <c r="L71" s="88">
        <f>IF(L66&gt;0,L65/L66,0)</f>
        <v>0</v>
      </c>
      <c r="M71" s="4"/>
    </row>
    <row r="72" spans="1:13" ht="3.75" customHeight="1">
      <c r="A72" s="135"/>
      <c r="B72" s="136"/>
      <c r="C72" s="136"/>
      <c r="D72" s="136"/>
      <c r="E72" s="149"/>
      <c r="F72" s="137"/>
      <c r="G72" s="4"/>
      <c r="H72" s="4"/>
      <c r="I72" s="4"/>
      <c r="J72" s="4"/>
      <c r="K72" s="4"/>
      <c r="L72" s="4"/>
      <c r="M72" s="4"/>
    </row>
    <row r="73" spans="1:13" ht="13.5">
      <c r="A73" s="46" t="s">
        <v>32</v>
      </c>
      <c r="B73" s="268">
        <f>SUM(B67:B71)</f>
        <v>0</v>
      </c>
      <c r="C73" s="268">
        <f>SUM(C67:C71)</f>
        <v>0</v>
      </c>
      <c r="D73" s="268">
        <f>MAX(D67:D71)</f>
        <v>0</v>
      </c>
      <c r="E73" s="269">
        <f>IF(C73&gt;0,B73/C73,0)</f>
        <v>0</v>
      </c>
      <c r="F73" s="267">
        <f>SUM(F67:F71)</f>
        <v>0</v>
      </c>
      <c r="G73" s="4"/>
      <c r="H73" s="4"/>
      <c r="I73" s="4"/>
      <c r="J73" s="4"/>
      <c r="K73" s="4"/>
      <c r="L73" s="4"/>
      <c r="M73" s="4"/>
    </row>
    <row r="74" spans="1:13" ht="4.5" customHeight="1">
      <c r="A74" s="47"/>
      <c r="B74" s="33"/>
      <c r="C74" s="33"/>
      <c r="D74" s="28"/>
      <c r="E74" s="33"/>
      <c r="F74" s="48"/>
      <c r="G74" s="4"/>
      <c r="H74" s="4"/>
      <c r="I74" s="4"/>
      <c r="J74" s="4"/>
      <c r="K74" s="4"/>
      <c r="L74" s="4"/>
      <c r="M74" s="4"/>
    </row>
    <row r="75" spans="1:24" ht="13.5">
      <c r="A75" s="50" t="s">
        <v>603</v>
      </c>
      <c r="B75" s="270">
        <f>IF(Participants!G18="","",Participants!G18)</f>
      </c>
      <c r="C75" s="51" t="s">
        <v>35</v>
      </c>
      <c r="D75" s="52"/>
      <c r="E75" s="52"/>
      <c r="F75" s="53">
        <f>MAX(O66:S66)</f>
        <v>0</v>
      </c>
      <c r="G75" s="4"/>
      <c r="H75" s="91" t="s">
        <v>0</v>
      </c>
      <c r="I75" s="394">
        <f>IF(Participants!B5="","",Participants!B5)</f>
      </c>
      <c r="J75" s="395"/>
      <c r="K75" s="395"/>
      <c r="L75" s="395"/>
      <c r="M75" s="396"/>
      <c r="V75" s="398" t="s">
        <v>504</v>
      </c>
      <c r="W75" s="399"/>
      <c r="X75" s="400"/>
    </row>
    <row r="76" spans="1:26" ht="13.5">
      <c r="A76" s="50" t="s">
        <v>33</v>
      </c>
      <c r="B76" s="263">
        <f>IF($R$6=0,_xlfn.IFERROR(VLOOKUP(C64,classement_final,4,FALSE),""),0)</f>
        <v>0</v>
      </c>
      <c r="C76" s="150"/>
      <c r="D76" s="151"/>
      <c r="E76" s="30"/>
      <c r="F76" s="143"/>
      <c r="G76" s="4"/>
      <c r="H76" s="92" t="s">
        <v>29</v>
      </c>
      <c r="I76" s="4"/>
      <c r="J76" s="4"/>
      <c r="K76" s="4"/>
      <c r="L76" s="4"/>
      <c r="M76" s="4"/>
      <c r="V76" s="401">
        <f>IF('Phase finale'!H11&gt;'Phase finale'!H12,'Phase finale'!C11,'Phase finale'!C12)</f>
      </c>
      <c r="W76" s="401"/>
      <c r="X76" s="401"/>
      <c r="Y76" s="160">
        <v>1</v>
      </c>
      <c r="Z76" s="160">
        <v>22</v>
      </c>
    </row>
    <row r="77" spans="1:26" ht="13.5">
      <c r="A77" s="50" t="s">
        <v>34</v>
      </c>
      <c r="B77" s="270">
        <f>_xlfn.IFERROR(VLOOKUP(B76,tableau_points_ranking,2,FALSE),0)</f>
        <v>0</v>
      </c>
      <c r="C77" s="55" t="s">
        <v>36</v>
      </c>
      <c r="D77" s="52"/>
      <c r="E77" s="29"/>
      <c r="F77" s="56"/>
      <c r="G77" s="4"/>
      <c r="H77" s="4"/>
      <c r="I77" s="4"/>
      <c r="J77" s="4"/>
      <c r="K77" s="4"/>
      <c r="L77" s="4"/>
      <c r="M77" s="4"/>
      <c r="V77" s="393">
        <f>IF('Phase finale'!H11&gt;'Phase finale'!H12,'Phase finale'!C12,'Phase finale'!C11)</f>
      </c>
      <c r="W77" s="393"/>
      <c r="X77" s="393"/>
      <c r="Y77" s="161">
        <v>2</v>
      </c>
      <c r="Z77" s="161">
        <v>19</v>
      </c>
    </row>
    <row r="78" spans="1:26" ht="12.75">
      <c r="A78" s="57" t="s">
        <v>602</v>
      </c>
      <c r="B78" s="271">
        <f>SUM(B75,B77,F73)</f>
        <v>0</v>
      </c>
      <c r="C78" s="58"/>
      <c r="D78" s="144"/>
      <c r="E78" s="144"/>
      <c r="F78" s="145"/>
      <c r="G78" s="4"/>
      <c r="H78" s="4"/>
      <c r="I78" s="4"/>
      <c r="J78" s="4"/>
      <c r="K78" s="4"/>
      <c r="L78" s="4"/>
      <c r="M78" s="4"/>
      <c r="V78" s="393">
        <f>IF('Phase finale'!H13&gt;'Phase finale'!H14,'Phase finale'!C13,'Phase finale'!C14)</f>
      </c>
      <c r="W78" s="393"/>
      <c r="X78" s="393"/>
      <c r="Y78" s="161">
        <v>3</v>
      </c>
      <c r="Z78" s="161">
        <v>16</v>
      </c>
    </row>
    <row r="79" spans="1:26" ht="12.75">
      <c r="A79" s="59"/>
      <c r="B79" s="36"/>
      <c r="C79" s="36"/>
      <c r="D79" s="36"/>
      <c r="E79" s="36"/>
      <c r="F79" s="36"/>
      <c r="G79" s="4"/>
      <c r="H79" s="4"/>
      <c r="I79" s="4"/>
      <c r="J79" s="4"/>
      <c r="K79" s="4"/>
      <c r="L79" s="4"/>
      <c r="M79" s="4"/>
      <c r="V79" s="393">
        <f>IF('Phase finale'!H13&gt;'Phase finale'!H14,'Phase finale'!C14,'Phase finale'!C13)</f>
      </c>
      <c r="W79" s="393"/>
      <c r="X79" s="393"/>
      <c r="Y79" s="161">
        <v>4</v>
      </c>
      <c r="Z79" s="161">
        <v>14</v>
      </c>
    </row>
    <row r="80" spans="1:26" ht="12.75">
      <c r="A80" s="38" t="s">
        <v>49</v>
      </c>
      <c r="B80" s="39"/>
      <c r="C80" s="403">
        <f>IF(Participants!D19="","",Participants!D19)</f>
      </c>
      <c r="D80" s="403"/>
      <c r="E80" s="403"/>
      <c r="F80" s="404"/>
      <c r="G80" s="4"/>
      <c r="H80" s="4"/>
      <c r="I80" s="4"/>
      <c r="J80" s="4"/>
      <c r="K80" s="4"/>
      <c r="L80" s="4"/>
      <c r="M80" s="4"/>
      <c r="V80" s="393">
        <f>IF('Phase finale'!H15&gt;'Phase finale'!H16,'Phase finale'!C15,'Phase finale'!C16)</f>
      </c>
      <c r="W80" s="393"/>
      <c r="X80" s="393"/>
      <c r="Y80" s="161">
        <v>5</v>
      </c>
      <c r="Z80" s="161">
        <v>12</v>
      </c>
    </row>
    <row r="81" spans="1:26" ht="12.75">
      <c r="A81" s="41" t="str">
        <f>IF(Participants!F19="","",Participants!F19)</f>
        <v> </v>
      </c>
      <c r="B81" s="42" t="s">
        <v>30</v>
      </c>
      <c r="C81" s="391" t="str">
        <f>IF(Participants!E19="","",Participants!E19)</f>
        <v> </v>
      </c>
      <c r="D81" s="391"/>
      <c r="E81" s="391"/>
      <c r="F81" s="392"/>
      <c r="G81" s="4"/>
      <c r="H81" s="4"/>
      <c r="I81" s="4"/>
      <c r="J81" s="4"/>
      <c r="K81" s="4"/>
      <c r="L81" s="4"/>
      <c r="M81" s="4"/>
      <c r="O81" s="398">
        <f>C80</f>
      </c>
      <c r="P81" s="399"/>
      <c r="Q81" s="399"/>
      <c r="R81" s="399"/>
      <c r="S81" s="400"/>
      <c r="V81" s="393">
        <f>IF('Phase finale'!H15&gt;'Phase finale'!H16,'Phase finale'!C16,'Phase finale'!C15)</f>
      </c>
      <c r="W81" s="393"/>
      <c r="X81" s="393"/>
      <c r="Y81" s="161">
        <v>6</v>
      </c>
      <c r="Z81" s="161">
        <v>11</v>
      </c>
    </row>
    <row r="82" spans="1:26" ht="16.5" customHeight="1">
      <c r="A82" s="130"/>
      <c r="B82" s="131" t="s">
        <v>7</v>
      </c>
      <c r="C82" s="131" t="s">
        <v>8</v>
      </c>
      <c r="D82" s="134" t="s">
        <v>9</v>
      </c>
      <c r="E82" s="132" t="s">
        <v>11</v>
      </c>
      <c r="F82" s="43" t="s">
        <v>31</v>
      </c>
      <c r="G82" s="4"/>
      <c r="H82" s="4"/>
      <c r="I82" s="4"/>
      <c r="J82" s="4"/>
      <c r="K82" s="4"/>
      <c r="L82" s="4"/>
      <c r="M82" s="4"/>
      <c r="O82" s="158">
        <f>IF(F83&gt;1,E83,0)</f>
        <v>0</v>
      </c>
      <c r="P82" s="158">
        <f>IF(F84&gt;1,E84,0)</f>
        <v>0</v>
      </c>
      <c r="Q82" s="158">
        <f>IF(F85&gt;1,E85,0)</f>
        <v>0</v>
      </c>
      <c r="R82" s="158">
        <f>IF(F86&gt;1,E86,0)</f>
        <v>0</v>
      </c>
      <c r="S82" s="158">
        <f>IF(F87&gt;1,E87,0)</f>
        <v>0</v>
      </c>
      <c r="V82" s="393">
        <f>IF(Participants!$I$4=7,Classement!N29,IF('Phase finale'!H8&gt;'Phase finale'!H9,'Phase finale'!C8,'Phase finale'!C9))</f>
      </c>
      <c r="W82" s="393"/>
      <c r="X82" s="393"/>
      <c r="Y82" s="161">
        <v>7</v>
      </c>
      <c r="Z82" s="161">
        <v>10</v>
      </c>
    </row>
    <row r="83" spans="1:26" ht="12.75">
      <c r="A83" s="206">
        <f>IF(C80='Phase de poule'!C8,'Phase de poule'!C9,IF(C80='Phase de poule'!C9,'Phase de poule'!C8," "))</f>
      </c>
      <c r="B83" s="153">
        <f>_xlfn.IFERROR(VLOOKUP(C80,poule_c_t_1,2,FALSE),0)</f>
        <v>0</v>
      </c>
      <c r="C83" s="153">
        <f>_xlfn.IFERROR(VLOOKUP(C80,poule_c_t_1,3,FALSE),"")</f>
        <v>0</v>
      </c>
      <c r="D83" s="153">
        <f>_xlfn.IFERROR(VLOOKUP(C80,poule_c_t_1,4,FALSE),"")</f>
        <v>0</v>
      </c>
      <c r="E83" s="119">
        <f>_xlfn.IFERROR(VLOOKUP(C80,poule_c_t_1,6,FALSE),"")</f>
      </c>
      <c r="F83" s="153">
        <f>_xlfn.IFERROR(VLOOKUP(C80,poule_c_t_1,5,FALSE),"")</f>
        <v>0</v>
      </c>
      <c r="G83" s="4"/>
      <c r="H83" s="4"/>
      <c r="I83" s="4"/>
      <c r="J83" s="4"/>
      <c r="K83" s="4"/>
      <c r="L83" s="4"/>
      <c r="M83" s="4"/>
      <c r="V83" s="393">
        <f>IF('Phase finale'!H9&gt;'Phase finale'!H8,'Phase finale'!C8,'Phase finale'!C9)</f>
      </c>
      <c r="W83" s="393"/>
      <c r="X83" s="393"/>
      <c r="Y83" s="161">
        <v>8</v>
      </c>
      <c r="Z83" s="161">
        <v>9</v>
      </c>
    </row>
    <row r="84" spans="1:26" ht="12.75">
      <c r="A84" s="206">
        <f>IF(C80='Phase de poule'!C15,'Phase de poule'!C16,IF(C80='Phase de poule'!C16,'Phase de poule'!C15," "))</f>
      </c>
      <c r="B84" s="153">
        <f>_xlfn.IFERROR(VLOOKUP(C80,poule_c_t_2,2,FALSE),0)</f>
        <v>0</v>
      </c>
      <c r="C84" s="153">
        <f>_xlfn.IFERROR(VLOOKUP(C80,poule_c_t_2,3,FALSE),"")</f>
        <v>0</v>
      </c>
      <c r="D84" s="153">
        <f>_xlfn.IFERROR(VLOOKUP(C80,poule_c_t_2,4,FALSE),"")</f>
        <v>0</v>
      </c>
      <c r="E84" s="119">
        <f>_xlfn.IFERROR(VLOOKUP(C80,poule_c_t_2,6,FALSE),"")</f>
      </c>
      <c r="F84" s="153">
        <f>_xlfn.IFERROR(VLOOKUP(C80,poule_c_t_2,5,FALSE),"")</f>
        <v>0</v>
      </c>
      <c r="G84" s="4"/>
      <c r="H84" s="4"/>
      <c r="I84" s="4"/>
      <c r="J84" s="4"/>
      <c r="K84" s="4"/>
      <c r="L84" s="4"/>
      <c r="M84" s="4"/>
      <c r="V84" s="397">
        <f>IF(Participants!$I$4=9,Classement!N31,"")</f>
      </c>
      <c r="W84" s="397"/>
      <c r="X84" s="397"/>
      <c r="Y84" s="162">
        <v>9</v>
      </c>
      <c r="Z84" s="162">
        <v>8</v>
      </c>
    </row>
    <row r="85" spans="1:13" ht="12.75" customHeight="1">
      <c r="A85" s="206">
        <f>IF(C80='Phase de poule'!C22,'Phase de poule'!C23,IF(C80='Phase de poule'!C23,'Phase de poule'!C22," "))</f>
      </c>
      <c r="B85" s="153">
        <f>_xlfn.IFERROR(VLOOKUP(C80,poule_c_t_3,2,FALSE),0)</f>
        <v>0</v>
      </c>
      <c r="C85" s="153">
        <f>_xlfn.IFERROR(VLOOKUP(C80,poule_c_t_3,3,FALSE),"")</f>
        <v>0</v>
      </c>
      <c r="D85" s="153">
        <f>_xlfn.IFERROR(VLOOKUP(C80,poule_c_t_3,4,FALSE),"")</f>
        <v>0</v>
      </c>
      <c r="E85" s="119">
        <f>_xlfn.IFERROR(VLOOKUP(C80,poule_c_t_3,6,FALSE),"")</f>
      </c>
      <c r="F85" s="153">
        <f>_xlfn.IFERROR(VLOOKUP(C80,poule_c_t_3,5,FALSE),"")</f>
        <v>0</v>
      </c>
      <c r="G85" s="4"/>
      <c r="H85" s="4"/>
      <c r="I85" s="4"/>
      <c r="J85" s="4"/>
      <c r="K85" s="4"/>
      <c r="L85" s="4"/>
      <c r="M85" s="4"/>
    </row>
    <row r="86" spans="1:13" ht="12.75">
      <c r="A86" s="206">
        <f>_xlfn.IFERROR(VLOOKUP(C80,tour_num_4,2,FALSE),"")</f>
      </c>
      <c r="B86" s="154">
        <f>_xlfn.IFERROR(VLOOKUP(C80,tour_num_4,3,FALSE),"")</f>
        <v>0</v>
      </c>
      <c r="C86" s="154">
        <f>_xlfn.IFERROR(VLOOKUP(C80,tour_num_4,4,FALSE),"")</f>
        <v>0</v>
      </c>
      <c r="D86" s="154">
        <f>_xlfn.IFERROR(VLOOKUP(C80,tour_num_4,5,FALSE),"")</f>
        <v>0</v>
      </c>
      <c r="E86" s="155">
        <f>_xlfn.IFERROR(VLOOKUP(C80,tour_num_4,7,FALSE),"")</f>
      </c>
      <c r="F86" s="153">
        <f>_xlfn.IFERROR(VLOOKUP(C80,tour_num_4,6,FALSE),"")</f>
        <v>0</v>
      </c>
      <c r="G86" s="4"/>
      <c r="H86" s="4"/>
      <c r="I86" s="4"/>
      <c r="J86" s="4"/>
      <c r="K86" s="4"/>
      <c r="L86" s="4"/>
      <c r="M86" s="4"/>
    </row>
    <row r="87" spans="1:13" ht="12.75">
      <c r="A87" s="206">
        <f>_xlfn.IFERROR(VLOOKUP(C80,tour_num_5,2,FALSE),"")</f>
      </c>
      <c r="B87" s="154">
        <f>_xlfn.IFERROR(VLOOKUP(C80,tour_num_5,3,FALSE),"")</f>
        <v>0</v>
      </c>
      <c r="C87" s="154">
        <f>_xlfn.IFERROR(VLOOKUP(C80,tour_num_5,4,FALSE),"")</f>
        <v>0</v>
      </c>
      <c r="D87" s="154">
        <f>_xlfn.IFERROR(VLOOKUP(C80,tour_num_5,5,FALSE),"")</f>
        <v>0</v>
      </c>
      <c r="E87" s="155">
        <f>_xlfn.IFERROR(VLOOKUP(C80,tour_num_5,7,FALSE),"")</f>
      </c>
      <c r="F87" s="153">
        <f>_xlfn.IFERROR(VLOOKUP(C80,tour_num_5,6,FALSE),"")</f>
        <v>0</v>
      </c>
      <c r="G87" s="4"/>
      <c r="H87" s="4"/>
      <c r="I87" s="4"/>
      <c r="J87" s="4"/>
      <c r="K87" s="4"/>
      <c r="L87" s="4"/>
      <c r="M87" s="4"/>
    </row>
    <row r="88" spans="1:13" ht="3.75" customHeight="1">
      <c r="A88" s="61"/>
      <c r="B88" s="62"/>
      <c r="C88" s="62"/>
      <c r="D88" s="63"/>
      <c r="E88" s="64"/>
      <c r="F88" s="60"/>
      <c r="G88" s="4"/>
      <c r="H88" s="4"/>
      <c r="I88" s="4"/>
      <c r="J88" s="4"/>
      <c r="K88" s="4"/>
      <c r="L88" s="4"/>
      <c r="M88" s="4"/>
    </row>
    <row r="89" spans="1:13" ht="13.5">
      <c r="A89" s="46" t="s">
        <v>32</v>
      </c>
      <c r="B89" s="268">
        <f>SUM(B83:B87)</f>
        <v>0</v>
      </c>
      <c r="C89" s="268">
        <f>SUM(C83:C87)</f>
        <v>0</v>
      </c>
      <c r="D89" s="268">
        <f>MAX(D83:D87)</f>
        <v>0</v>
      </c>
      <c r="E89" s="269">
        <f>IF(C89&gt;0,B89/C89,0)</f>
        <v>0</v>
      </c>
      <c r="F89" s="267">
        <f>SUM(F83:F87)</f>
        <v>0</v>
      </c>
      <c r="G89" s="4"/>
      <c r="H89" s="4"/>
      <c r="I89" s="4"/>
      <c r="J89" s="4"/>
      <c r="K89" s="4"/>
      <c r="L89" s="4"/>
      <c r="M89" s="4"/>
    </row>
    <row r="90" spans="1:13" ht="4.5" customHeight="1">
      <c r="A90" s="47"/>
      <c r="B90" s="33"/>
      <c r="C90" s="33"/>
      <c r="D90" s="28"/>
      <c r="E90" s="33"/>
      <c r="F90" s="48"/>
      <c r="G90" s="4"/>
      <c r="H90" s="4"/>
      <c r="I90" s="4"/>
      <c r="J90" s="4"/>
      <c r="K90" s="4"/>
      <c r="L90" s="4"/>
      <c r="M90" s="4"/>
    </row>
    <row r="91" spans="1:13" ht="13.5">
      <c r="A91" s="50" t="s">
        <v>603</v>
      </c>
      <c r="B91" s="270">
        <f>IF(Participants!G19="","",Participants!G19)</f>
      </c>
      <c r="C91" s="51" t="s">
        <v>35</v>
      </c>
      <c r="D91" s="52"/>
      <c r="E91" s="52"/>
      <c r="F91" s="53">
        <f>MAX(O82:S82)</f>
        <v>0</v>
      </c>
      <c r="G91" s="4"/>
      <c r="H91" s="4"/>
      <c r="I91" s="4"/>
      <c r="J91" s="4"/>
      <c r="K91" s="4"/>
      <c r="L91" s="4"/>
      <c r="M91" s="4"/>
    </row>
    <row r="92" spans="1:13" ht="13.5">
      <c r="A92" s="50" t="s">
        <v>33</v>
      </c>
      <c r="B92" s="263">
        <f>IF($R$6=0,_xlfn.IFERROR(VLOOKUP(C80,classement_final,4,FALSE),""),0)</f>
        <v>0</v>
      </c>
      <c r="C92" s="150"/>
      <c r="D92" s="151"/>
      <c r="E92" s="30"/>
      <c r="F92" s="143"/>
      <c r="G92" s="4"/>
      <c r="H92" s="4"/>
      <c r="I92" s="4"/>
      <c r="J92" s="4"/>
      <c r="K92" s="4"/>
      <c r="L92" s="4"/>
      <c r="M92" s="4"/>
    </row>
    <row r="93" spans="1:13" ht="13.5">
      <c r="A93" s="50" t="s">
        <v>34</v>
      </c>
      <c r="B93" s="270">
        <f>_xlfn.IFERROR(VLOOKUP(B92,tableau_points_ranking,2,FALSE),0)</f>
        <v>0</v>
      </c>
      <c r="C93" s="55" t="s">
        <v>36</v>
      </c>
      <c r="D93" s="52"/>
      <c r="E93" s="29"/>
      <c r="F93" s="56"/>
      <c r="G93" s="4"/>
      <c r="H93" s="4"/>
      <c r="I93" s="4"/>
      <c r="J93" s="4"/>
      <c r="K93" s="4"/>
      <c r="L93" s="4"/>
      <c r="M93" s="4"/>
    </row>
    <row r="94" spans="1:13" ht="12.75">
      <c r="A94" s="57" t="s">
        <v>602</v>
      </c>
      <c r="B94" s="271">
        <f>SUM(B91,B93,F89)</f>
        <v>0</v>
      </c>
      <c r="C94" s="58"/>
      <c r="D94" s="144"/>
      <c r="E94" s="144"/>
      <c r="F94" s="145"/>
      <c r="G94" s="4"/>
      <c r="H94" s="4"/>
      <c r="I94" s="4"/>
      <c r="J94" s="4"/>
      <c r="K94" s="4"/>
      <c r="L94" s="4"/>
      <c r="M94" s="4"/>
    </row>
    <row r="95" spans="1:13" ht="12.75">
      <c r="A95" s="34"/>
      <c r="B95" s="36"/>
      <c r="C95" s="36"/>
      <c r="D95" s="36"/>
      <c r="E95" s="36"/>
      <c r="F95" s="36"/>
      <c r="G95" s="4"/>
      <c r="H95" s="4"/>
      <c r="I95" s="4"/>
      <c r="J95" s="4"/>
      <c r="K95" s="4"/>
      <c r="L95" s="4"/>
      <c r="M95" s="4"/>
    </row>
    <row r="96" spans="1:13" ht="12.75">
      <c r="A96" s="38" t="s">
        <v>50</v>
      </c>
      <c r="B96" s="39"/>
      <c r="C96" s="403">
        <f>IF(Participants!D20="","",Participants!D20)</f>
      </c>
      <c r="D96" s="403"/>
      <c r="E96" s="403"/>
      <c r="F96" s="404"/>
      <c r="G96" s="4"/>
      <c r="H96" s="4"/>
      <c r="I96" s="4"/>
      <c r="J96" s="4"/>
      <c r="K96" s="4"/>
      <c r="L96" s="4"/>
      <c r="M96" s="4"/>
    </row>
    <row r="97" spans="1:19" ht="12.75">
      <c r="A97" s="41" t="str">
        <f>IF(Participants!F20="","",Participants!F20)</f>
        <v> </v>
      </c>
      <c r="B97" s="42" t="s">
        <v>30</v>
      </c>
      <c r="C97" s="391" t="str">
        <f>IF(Participants!E20="","",Participants!E20)</f>
        <v> </v>
      </c>
      <c r="D97" s="391"/>
      <c r="E97" s="391"/>
      <c r="F97" s="392"/>
      <c r="G97" s="4"/>
      <c r="H97" s="4"/>
      <c r="I97" s="4"/>
      <c r="J97" s="4"/>
      <c r="K97" s="4"/>
      <c r="L97" s="4"/>
      <c r="M97" s="4"/>
      <c r="O97" s="398">
        <f>C96</f>
      </c>
      <c r="P97" s="399"/>
      <c r="Q97" s="399"/>
      <c r="R97" s="399"/>
      <c r="S97" s="400"/>
    </row>
    <row r="98" spans="1:19" ht="16.5" customHeight="1">
      <c r="A98" s="135"/>
      <c r="B98" s="131" t="s">
        <v>7</v>
      </c>
      <c r="C98" s="131" t="s">
        <v>8</v>
      </c>
      <c r="D98" s="134" t="s">
        <v>9</v>
      </c>
      <c r="E98" s="132" t="s">
        <v>11</v>
      </c>
      <c r="F98" s="43" t="s">
        <v>31</v>
      </c>
      <c r="G98" s="4"/>
      <c r="H98" s="4"/>
      <c r="I98" s="4"/>
      <c r="J98" s="4"/>
      <c r="K98" s="4"/>
      <c r="L98" s="4"/>
      <c r="M98" s="4"/>
      <c r="O98" s="158">
        <f>IF(F99&gt;1,E99,0)</f>
        <v>0</v>
      </c>
      <c r="P98" s="158">
        <f>IF(F100&gt;1,E100,0)</f>
        <v>0</v>
      </c>
      <c r="Q98" s="158">
        <f>IF(F101&gt;1,E101,0)</f>
        <v>0</v>
      </c>
      <c r="R98" s="158">
        <f>IF(F102&gt;1,E102,0)</f>
        <v>0</v>
      </c>
      <c r="S98" s="158">
        <f>IF(F103&gt;1,E103,0)</f>
        <v>0</v>
      </c>
    </row>
    <row r="99" spans="1:13" ht="12.75">
      <c r="A99" s="206">
        <f>IF(C96='Phase de poule'!C8,'Phase de poule'!C9,IF(C96='Phase de poule'!C9,'Phase de poule'!C8," "))</f>
      </c>
      <c r="B99" s="153">
        <f>_xlfn.IFERROR(VLOOKUP(C96,poule_c_t_1,2,FALSE),"")</f>
        <v>0</v>
      </c>
      <c r="C99" s="153">
        <f>_xlfn.IFERROR(VLOOKUP(C96,poule_c_t_1,3,FALSE),"")</f>
        <v>0</v>
      </c>
      <c r="D99" s="153">
        <f>_xlfn.IFERROR(VLOOKUP(C96,poule_c_t_1,4,FALSE),"")</f>
        <v>0</v>
      </c>
      <c r="E99" s="119">
        <f>_xlfn.IFERROR(VLOOKUP(C96,poule_c_t_1,6,FALSE),"")</f>
      </c>
      <c r="F99" s="153">
        <f>_xlfn.IFERROR(VLOOKUP(C96,poule_c_t_1,5,FALSE),"")</f>
        <v>0</v>
      </c>
      <c r="G99" s="4"/>
      <c r="H99" s="4"/>
      <c r="I99" s="4"/>
      <c r="J99" s="4"/>
      <c r="K99" s="4"/>
      <c r="L99" s="4"/>
      <c r="M99" s="4"/>
    </row>
    <row r="100" spans="1:13" ht="12.75">
      <c r="A100" s="206">
        <f>IF(C96='Phase de poule'!C15,'Phase de poule'!C16,IF(C96='Phase de poule'!C16,'Phase de poule'!C15," "))</f>
      </c>
      <c r="B100" s="153">
        <f>_xlfn.IFERROR(VLOOKUP(C96,poule_c_t_2,2,FALSE),"")</f>
        <v>0</v>
      </c>
      <c r="C100" s="153">
        <f>_xlfn.IFERROR(VLOOKUP(C96,poule_c_t_2,3,FALSE),"")</f>
        <v>0</v>
      </c>
      <c r="D100" s="153">
        <f>_xlfn.IFERROR(VLOOKUP(C96,poule_c_t_2,4,FALSE),"")</f>
        <v>0</v>
      </c>
      <c r="E100" s="119">
        <f>_xlfn.IFERROR(VLOOKUP(C96,poule_c_t_2,6,FALSE),"")</f>
      </c>
      <c r="F100" s="153">
        <f>_xlfn.IFERROR(VLOOKUP(C96,poule_c_t_2,5,FALSE),"")</f>
        <v>0</v>
      </c>
      <c r="G100" s="4"/>
      <c r="H100" s="4"/>
      <c r="I100" s="4"/>
      <c r="J100" s="4"/>
      <c r="K100" s="4"/>
      <c r="L100" s="4"/>
      <c r="M100" s="4"/>
    </row>
    <row r="101" spans="1:13" ht="12.75" customHeight="1">
      <c r="A101" s="206">
        <f>IF(C96='Phase de poule'!C22,'Phase de poule'!C23,IF(C96='Phase de poule'!C23,'Phase de poule'!C22," "))</f>
      </c>
      <c r="B101" s="153">
        <f>_xlfn.IFERROR(VLOOKUP(C96,poule_c_t_3,2,FALSE),"")</f>
        <v>0</v>
      </c>
      <c r="C101" s="153">
        <f>_xlfn.IFERROR(VLOOKUP(C96,poule_c_t_3,3,FALSE),"")</f>
        <v>0</v>
      </c>
      <c r="D101" s="153">
        <f>_xlfn.IFERROR(VLOOKUP(C96,poule_c_t_3,4,FALSE),"")</f>
        <v>0</v>
      </c>
      <c r="E101" s="119">
        <f>_xlfn.IFERROR(VLOOKUP(C96,poule_c_t_3,6,FALSE),"")</f>
      </c>
      <c r="F101" s="153">
        <f>_xlfn.IFERROR(VLOOKUP(C96,poule_c_t_3,5,FALSE),"")</f>
        <v>0</v>
      </c>
      <c r="G101" s="4"/>
      <c r="H101" s="4"/>
      <c r="I101" s="4"/>
      <c r="J101" s="4"/>
      <c r="K101" s="4"/>
      <c r="L101" s="4"/>
      <c r="M101" s="4"/>
    </row>
    <row r="102" spans="1:13" ht="12.75">
      <c r="A102" s="206">
        <f>_xlfn.IFERROR(VLOOKUP(C96,tour_num_4,2,FALSE),"")</f>
      </c>
      <c r="B102" s="154">
        <f>_xlfn.IFERROR(VLOOKUP(C96,tour_num_4,3,FALSE),"")</f>
        <v>0</v>
      </c>
      <c r="C102" s="154">
        <f>_xlfn.IFERROR(VLOOKUP(C96,tour_num_4,4,FALSE),"")</f>
        <v>0</v>
      </c>
      <c r="D102" s="154">
        <f>_xlfn.IFERROR(VLOOKUP(C96,tour_num_4,5,FALSE),"")</f>
        <v>0</v>
      </c>
      <c r="E102" s="155">
        <f>_xlfn.IFERROR(VLOOKUP(C96,tour_num_4,7,FALSE),"")</f>
      </c>
      <c r="F102" s="153">
        <f>_xlfn.IFERROR(VLOOKUP(C96,tour_num_4,6,FALSE),"")</f>
        <v>0</v>
      </c>
      <c r="G102" s="4"/>
      <c r="H102" s="4"/>
      <c r="I102" s="4"/>
      <c r="J102" s="4"/>
      <c r="K102" s="4"/>
      <c r="L102" s="4"/>
      <c r="M102" s="4"/>
    </row>
    <row r="103" spans="1:13" ht="12.75">
      <c r="A103" s="206">
        <f>_xlfn.IFERROR(VLOOKUP(C96,tour_num_5,2,FALSE),"")</f>
      </c>
      <c r="B103" s="154">
        <f>_xlfn.IFERROR(VLOOKUP(C96,tour_num_5,3,FALSE),"")</f>
        <v>0</v>
      </c>
      <c r="C103" s="154">
        <f>_xlfn.IFERROR(VLOOKUP(C96,tour_num_5,4,FALSE),"")</f>
        <v>0</v>
      </c>
      <c r="D103" s="154">
        <f>_xlfn.IFERROR(VLOOKUP(C96,tour_num_5,5,FALSE),"")</f>
        <v>0</v>
      </c>
      <c r="E103" s="155">
        <f>_xlfn.IFERROR(VLOOKUP(C96,tour_num_5,7,FALSE),"")</f>
      </c>
      <c r="F103" s="153">
        <f>_xlfn.IFERROR(VLOOKUP(C96,tour_num_5,6,FALSE),"")</f>
        <v>0</v>
      </c>
      <c r="G103" s="4"/>
      <c r="H103" s="4"/>
      <c r="I103" s="4"/>
      <c r="J103" s="4"/>
      <c r="K103" s="4"/>
      <c r="L103" s="4"/>
      <c r="M103" s="4"/>
    </row>
    <row r="104" spans="1:13" ht="3.75" customHeight="1">
      <c r="A104" s="61"/>
      <c r="B104" s="62"/>
      <c r="C104" s="62"/>
      <c r="D104" s="63"/>
      <c r="E104" s="64"/>
      <c r="F104" s="60"/>
      <c r="G104" s="4"/>
      <c r="H104" s="4"/>
      <c r="I104" s="4"/>
      <c r="J104" s="4"/>
      <c r="K104" s="4"/>
      <c r="L104" s="4"/>
      <c r="M104" s="4"/>
    </row>
    <row r="105" spans="1:13" ht="13.5">
      <c r="A105" s="46" t="s">
        <v>32</v>
      </c>
      <c r="B105" s="268">
        <f>SUM(B99:B103)</f>
        <v>0</v>
      </c>
      <c r="C105" s="268">
        <f>SUM(C99:C103)</f>
        <v>0</v>
      </c>
      <c r="D105" s="268">
        <f>MAX(D99:D103)</f>
        <v>0</v>
      </c>
      <c r="E105" s="269">
        <f>IF(C105&gt;0,B105/C105,0)</f>
        <v>0</v>
      </c>
      <c r="F105" s="267">
        <f>SUM(F99:F103)</f>
        <v>0</v>
      </c>
      <c r="G105" s="4"/>
      <c r="H105" s="4"/>
      <c r="I105" s="4"/>
      <c r="J105" s="4"/>
      <c r="K105" s="4"/>
      <c r="L105" s="4"/>
      <c r="M105" s="4"/>
    </row>
    <row r="106" spans="1:13" ht="4.5" customHeight="1">
      <c r="A106" s="47"/>
      <c r="B106" s="33"/>
      <c r="C106" s="33"/>
      <c r="D106" s="28"/>
      <c r="E106" s="33"/>
      <c r="F106" s="48"/>
      <c r="G106" s="4"/>
      <c r="H106" s="4"/>
      <c r="I106" s="4"/>
      <c r="J106" s="4"/>
      <c r="K106" s="4"/>
      <c r="L106" s="4"/>
      <c r="M106" s="4"/>
    </row>
    <row r="107" spans="1:13" ht="13.5">
      <c r="A107" s="50" t="s">
        <v>603</v>
      </c>
      <c r="B107" s="270">
        <f>IF(Participants!G20="","",Participants!G20)</f>
      </c>
      <c r="C107" s="51" t="s">
        <v>35</v>
      </c>
      <c r="D107" s="52"/>
      <c r="E107" s="52"/>
      <c r="F107" s="53">
        <f>MAX(O98:S98)</f>
        <v>0</v>
      </c>
      <c r="G107" s="4"/>
      <c r="H107" s="4"/>
      <c r="I107" s="4"/>
      <c r="J107" s="4"/>
      <c r="K107" s="4"/>
      <c r="L107" s="4"/>
      <c r="M107" s="4"/>
    </row>
    <row r="108" spans="1:13" ht="13.5">
      <c r="A108" s="50" t="s">
        <v>33</v>
      </c>
      <c r="B108" s="263">
        <f>IF($R$6=0,_xlfn.IFERROR(VLOOKUP(C96,classement_final,4,FALSE),""),0)</f>
        <v>0</v>
      </c>
      <c r="C108" s="150"/>
      <c r="D108" s="151"/>
      <c r="E108" s="30">
        <f>IF(Participants!$H20&lt;&gt;"",Participants!$H20,"")</f>
      </c>
      <c r="F108" s="143"/>
      <c r="G108" s="4"/>
      <c r="H108" s="4"/>
      <c r="I108" s="4"/>
      <c r="J108" s="4"/>
      <c r="K108" s="4"/>
      <c r="L108" s="4"/>
      <c r="M108" s="4"/>
    </row>
    <row r="109" spans="1:13" ht="13.5">
      <c r="A109" s="50" t="s">
        <v>34</v>
      </c>
      <c r="B109" s="270">
        <f>_xlfn.IFERROR(VLOOKUP(B108,tableau_points_ranking,2,FALSE),0)</f>
        <v>0</v>
      </c>
      <c r="C109" s="55" t="s">
        <v>36</v>
      </c>
      <c r="D109" s="52"/>
      <c r="E109" s="29"/>
      <c r="F109" s="56"/>
      <c r="G109" s="4"/>
      <c r="H109" s="4"/>
      <c r="I109" s="4"/>
      <c r="J109" s="4"/>
      <c r="K109" s="4"/>
      <c r="L109" s="4"/>
      <c r="M109" s="4"/>
    </row>
    <row r="110" spans="1:13" ht="12.75">
      <c r="A110" s="57" t="s">
        <v>602</v>
      </c>
      <c r="B110" s="271">
        <f>SUM(B107,B109,F105)</f>
        <v>0</v>
      </c>
      <c r="C110" s="58"/>
      <c r="D110" s="144"/>
      <c r="E110" s="144"/>
      <c r="F110" s="145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</sheetData>
  <sheetProtection password="CC38" sheet="1" selectLockedCells="1" selectUnlockedCells="1"/>
  <mergeCells count="50">
    <mergeCell ref="C22:E22"/>
    <mergeCell ref="J22:L22"/>
    <mergeCell ref="B4:F4"/>
    <mergeCell ref="I4:K4"/>
    <mergeCell ref="U12:Y12"/>
    <mergeCell ref="O12:S12"/>
    <mergeCell ref="C11:F11"/>
    <mergeCell ref="J11:M11"/>
    <mergeCell ref="I8:M8"/>
    <mergeCell ref="B8:F8"/>
    <mergeCell ref="O28:S28"/>
    <mergeCell ref="O44:S44"/>
    <mergeCell ref="A1:M1"/>
    <mergeCell ref="A2:M2"/>
    <mergeCell ref="C43:F43"/>
    <mergeCell ref="J43:M43"/>
    <mergeCell ref="I6:M6"/>
    <mergeCell ref="C12:F12"/>
    <mergeCell ref="B6:F6"/>
    <mergeCell ref="B7:F7"/>
    <mergeCell ref="V79:X79"/>
    <mergeCell ref="V81:X81"/>
    <mergeCell ref="I5:M5"/>
    <mergeCell ref="J12:M12"/>
    <mergeCell ref="J28:M28"/>
    <mergeCell ref="C27:F27"/>
    <mergeCell ref="J27:M27"/>
    <mergeCell ref="V80:X80"/>
    <mergeCell ref="C28:F28"/>
    <mergeCell ref="C65:F65"/>
    <mergeCell ref="U28:Y28"/>
    <mergeCell ref="U44:Y44"/>
    <mergeCell ref="C44:F44"/>
    <mergeCell ref="J44:M44"/>
    <mergeCell ref="C96:F96"/>
    <mergeCell ref="C81:F81"/>
    <mergeCell ref="V82:X82"/>
    <mergeCell ref="C64:F64"/>
    <mergeCell ref="C80:F80"/>
    <mergeCell ref="O65:S65"/>
    <mergeCell ref="C97:F97"/>
    <mergeCell ref="V83:X83"/>
    <mergeCell ref="I75:M75"/>
    <mergeCell ref="V84:X84"/>
    <mergeCell ref="V75:X75"/>
    <mergeCell ref="O81:S81"/>
    <mergeCell ref="O97:S97"/>
    <mergeCell ref="V76:X76"/>
    <mergeCell ref="V77:X77"/>
    <mergeCell ref="V78:X78"/>
  </mergeCells>
  <printOptions horizontalCentered="1"/>
  <pageMargins left="0" right="0" top="0.3937007874015748" bottom="0.3937007874015748" header="0" footer="0"/>
  <pageSetup fitToHeight="0" fitToWidth="0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RowColHeaders="0" zoomScalePageLayoutView="0" workbookViewId="0" topLeftCell="A1">
      <selection activeCell="M16" sqref="M16"/>
    </sheetView>
  </sheetViews>
  <sheetFormatPr defaultColWidth="12" defaultRowHeight="12.75"/>
  <cols>
    <col min="1" max="1" width="7" style="237" customWidth="1"/>
    <col min="2" max="2" width="27.83203125" style="237" customWidth="1"/>
    <col min="3" max="3" width="9.83203125" style="237" customWidth="1"/>
    <col min="4" max="4" width="7.83203125" style="237" customWidth="1"/>
    <col min="5" max="5" width="8.83203125" style="237" customWidth="1"/>
    <col min="6" max="6" width="7.83203125" style="237" customWidth="1"/>
    <col min="7" max="7" width="9.83203125" style="237" customWidth="1"/>
    <col min="8" max="8" width="27.83203125" style="237" customWidth="1"/>
    <col min="9" max="9" width="12" style="237" customWidth="1"/>
    <col min="10" max="10" width="7.83203125" style="237" customWidth="1"/>
    <col min="11" max="11" width="8.83203125" style="237" customWidth="1"/>
    <col min="12" max="12" width="7.83203125" style="237" customWidth="1"/>
    <col min="13" max="13" width="9.83203125" style="237" customWidth="1"/>
    <col min="14" max="14" width="2.33203125" style="237" customWidth="1"/>
    <col min="15" max="16384" width="12" style="237" customWidth="1"/>
  </cols>
  <sheetData>
    <row r="1" spans="1:14" ht="42" customHeight="1" thickBot="1">
      <c r="A1" s="422" t="s">
        <v>589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4"/>
      <c r="N1" s="254"/>
    </row>
    <row r="2" ht="30.75" customHeight="1">
      <c r="A2" s="238" t="s">
        <v>590</v>
      </c>
    </row>
    <row r="3" spans="2:8" ht="15.75">
      <c r="B3" s="417" t="s">
        <v>595</v>
      </c>
      <c r="C3" s="417"/>
      <c r="D3" s="425">
        <f>IF(Participants!K9&lt;&gt;"",Participants!K9,"")</f>
      </c>
      <c r="E3" s="425"/>
      <c r="F3" s="425"/>
      <c r="G3" s="425"/>
      <c r="H3" s="425"/>
    </row>
    <row r="4" spans="2:8" ht="15.75">
      <c r="B4" s="417" t="s">
        <v>596</v>
      </c>
      <c r="C4" s="417"/>
      <c r="D4" s="426">
        <f>IF(Participants!B7&lt;&gt;"",Participants!B7,"")</f>
      </c>
      <c r="E4" s="426"/>
      <c r="F4" s="426"/>
      <c r="G4" s="426"/>
      <c r="H4" s="426"/>
    </row>
    <row r="5" spans="2:8" ht="15.75">
      <c r="B5" s="417" t="s">
        <v>597</v>
      </c>
      <c r="C5" s="417"/>
      <c r="D5" s="425">
        <f>IF(Participants!D5&lt;&gt;"",Participants!D5,"")</f>
      </c>
      <c r="E5" s="425"/>
      <c r="F5" s="425"/>
      <c r="G5" s="425"/>
      <c r="H5" s="425"/>
    </row>
    <row r="6" spans="2:8" ht="15.75">
      <c r="B6" s="417" t="s">
        <v>598</v>
      </c>
      <c r="C6" s="417"/>
      <c r="D6" s="425">
        <f>IF(Participants!E5&lt;&gt;"",Participants!E5,"")</f>
      </c>
      <c r="E6" s="425"/>
      <c r="F6" s="425"/>
      <c r="G6" s="425"/>
      <c r="H6" s="425"/>
    </row>
    <row r="7" spans="2:8" ht="15.75">
      <c r="B7" s="417" t="s">
        <v>599</v>
      </c>
      <c r="C7" s="417"/>
      <c r="D7" s="425">
        <f>IF(Participants!F5&lt;&gt;"",Participants!F5,"")</f>
      </c>
      <c r="E7" s="425"/>
      <c r="F7" s="425"/>
      <c r="G7" s="425"/>
      <c r="H7" s="425"/>
    </row>
    <row r="8" spans="2:8" ht="15.75">
      <c r="B8" s="417" t="s">
        <v>600</v>
      </c>
      <c r="C8" s="417"/>
      <c r="D8" s="418">
        <f>IF(Participants!E7&lt;&gt;"",Participants!E7,"")</f>
      </c>
      <c r="E8" s="418"/>
      <c r="F8" s="418"/>
      <c r="G8" s="418"/>
      <c r="H8" s="418"/>
    </row>
    <row r="9" ht="6" customHeight="1">
      <c r="N9" s="248"/>
    </row>
    <row r="10" spans="2:14" ht="31.5" customHeight="1">
      <c r="B10" s="419" t="s">
        <v>591</v>
      </c>
      <c r="C10" s="420"/>
      <c r="D10" s="420"/>
      <c r="E10" s="420"/>
      <c r="F10" s="420"/>
      <c r="G10" s="421"/>
      <c r="H10" s="419" t="s">
        <v>594</v>
      </c>
      <c r="I10" s="420"/>
      <c r="J10" s="420"/>
      <c r="K10" s="420"/>
      <c r="L10" s="420"/>
      <c r="M10" s="421"/>
      <c r="N10" s="248"/>
    </row>
    <row r="11" spans="1:14" ht="31.5" customHeight="1">
      <c r="A11" s="252" t="s">
        <v>593</v>
      </c>
      <c r="B11" s="239" t="s">
        <v>592</v>
      </c>
      <c r="C11" s="240" t="s">
        <v>53</v>
      </c>
      <c r="D11" s="240" t="s">
        <v>7</v>
      </c>
      <c r="E11" s="240" t="s">
        <v>8</v>
      </c>
      <c r="F11" s="240" t="s">
        <v>9</v>
      </c>
      <c r="G11" s="241" t="s">
        <v>31</v>
      </c>
      <c r="H11" s="239" t="s">
        <v>592</v>
      </c>
      <c r="I11" s="240" t="s">
        <v>53</v>
      </c>
      <c r="J11" s="240" t="s">
        <v>7</v>
      </c>
      <c r="K11" s="240" t="s">
        <v>8</v>
      </c>
      <c r="L11" s="240" t="s">
        <v>9</v>
      </c>
      <c r="M11" s="241" t="s">
        <v>31</v>
      </c>
      <c r="N11" s="248"/>
    </row>
    <row r="12" spans="1:14" ht="18" customHeight="1">
      <c r="A12" s="264">
        <v>1</v>
      </c>
      <c r="B12" s="242">
        <f>'Phase de poule'!C4</f>
      </c>
      <c r="C12" s="245">
        <f aca="true" t="shared" si="0" ref="C12:C26">_xlfn.IFERROR(VLOOKUP(B12,info_joueur,3,FALSE),"")</f>
      </c>
      <c r="D12" s="245">
        <f>IF('Phase de poule'!D4&lt;&gt;"",'Phase de poule'!D4,"")</f>
      </c>
      <c r="E12" s="245">
        <f>IF('Phase de poule'!E4&lt;&gt;"",'Phase de poule'!E4,"")</f>
      </c>
      <c r="F12" s="245">
        <f>IF('Phase de poule'!F4&lt;&gt;"",'Phase de poule'!F4,"")</f>
      </c>
      <c r="G12" s="245">
        <f>IF('Phase de poule'!G4&lt;&gt;"",'Phase de poule'!G4,"")</f>
      </c>
      <c r="H12" s="242">
        <f>'Phase de poule'!C5</f>
      </c>
      <c r="I12" s="245">
        <f aca="true" t="shared" si="1" ref="I12:I26">_xlfn.IFERROR(VLOOKUP(H12,info_joueur,3,FALSE),"")</f>
      </c>
      <c r="J12" s="245">
        <f>IF('Phase de poule'!D5&lt;&gt;"",'Phase de poule'!D5,"")</f>
      </c>
      <c r="K12" s="245">
        <f>IF('Phase de poule'!E5&lt;&gt;"",'Phase de poule'!E5,"")</f>
      </c>
      <c r="L12" s="245">
        <f>IF('Phase de poule'!F5&lt;&gt;"",'Phase de poule'!F5,"")</f>
      </c>
      <c r="M12" s="245">
        <f>IF('Phase de poule'!G5&lt;&gt;"",'Phase de poule'!G5,"")</f>
      </c>
      <c r="N12" s="248"/>
    </row>
    <row r="13" spans="1:14" ht="18" customHeight="1">
      <c r="A13" s="253">
        <v>2</v>
      </c>
      <c r="B13" s="250">
        <f>'Phase de poule'!C6</f>
      </c>
      <c r="C13" s="251">
        <f t="shared" si="0"/>
      </c>
      <c r="D13" s="251">
        <f>IF('Phase de poule'!D6&lt;&gt;"",'Phase de poule'!D6,"")</f>
      </c>
      <c r="E13" s="251">
        <f>IF('Phase de poule'!E6&lt;&gt;"",'Phase de poule'!E6,"")</f>
      </c>
      <c r="F13" s="251">
        <f>IF('Phase de poule'!F6&lt;&gt;"",'Phase de poule'!F6,"")</f>
      </c>
      <c r="G13" s="251">
        <f>IF('Phase de poule'!G6&lt;&gt;"",'Phase de poule'!G6,"")</f>
      </c>
      <c r="H13" s="250">
        <f>'Phase de poule'!C7</f>
      </c>
      <c r="I13" s="251">
        <f t="shared" si="1"/>
      </c>
      <c r="J13" s="251">
        <f>IF('Phase de poule'!D7&lt;&gt;"",'Phase de poule'!D7,"")</f>
      </c>
      <c r="K13" s="251">
        <f>IF('Phase de poule'!E7&lt;&gt;"",'Phase de poule'!E7,"")</f>
      </c>
      <c r="L13" s="251">
        <f>IF('Phase de poule'!F7&lt;&gt;"",'Phase de poule'!F7,"")</f>
      </c>
      <c r="M13" s="251">
        <f>IF('Phase de poule'!G7&lt;&gt;"",'Phase de poule'!G7,"")</f>
      </c>
      <c r="N13" s="248"/>
    </row>
    <row r="14" spans="1:14" ht="18" customHeight="1">
      <c r="A14" s="265">
        <v>3</v>
      </c>
      <c r="B14" s="243">
        <f>'Phase de poule'!C8</f>
      </c>
      <c r="C14" s="246">
        <f t="shared" si="0"/>
      </c>
      <c r="D14" s="246">
        <f>IF('Phase de poule'!D8&lt;&gt;"",'Phase de poule'!D8,"")</f>
      </c>
      <c r="E14" s="246">
        <f>IF('Phase de poule'!E8&lt;&gt;"",'Phase de poule'!E8,"")</f>
      </c>
      <c r="F14" s="246">
        <f>IF('Phase de poule'!F8&lt;&gt;"",'Phase de poule'!F8,"")</f>
      </c>
      <c r="G14" s="246">
        <f>IF('Phase de poule'!G8&lt;&gt;"",'Phase de poule'!G8,"")</f>
      </c>
      <c r="H14" s="243">
        <f>'Phase de poule'!C9</f>
      </c>
      <c r="I14" s="246">
        <f t="shared" si="1"/>
      </c>
      <c r="J14" s="246">
        <f>IF('Phase de poule'!D9&lt;&gt;"",'Phase de poule'!D9,"")</f>
      </c>
      <c r="K14" s="246">
        <f>IF('Phase de poule'!E9&lt;&gt;"",'Phase de poule'!E9,"")</f>
      </c>
      <c r="L14" s="246">
        <f>IF('Phase de poule'!F9&lt;&gt;"",'Phase de poule'!F9,"")</f>
      </c>
      <c r="M14" s="246">
        <f>IF('Phase de poule'!G9&lt;&gt;"",'Phase de poule'!G9,"")</f>
      </c>
      <c r="N14" s="248"/>
    </row>
    <row r="15" spans="1:14" ht="18" customHeight="1">
      <c r="A15" s="253">
        <v>4</v>
      </c>
      <c r="B15" s="250">
        <f>'Phase de poule'!C11</f>
      </c>
      <c r="C15" s="251">
        <f t="shared" si="0"/>
      </c>
      <c r="D15" s="251">
        <f>IF('Phase de poule'!D11&lt;&gt;"",'Phase de poule'!D11,"")</f>
      </c>
      <c r="E15" s="251">
        <f>IF('Phase de poule'!E11&lt;&gt;"",'Phase de poule'!E11,"")</f>
      </c>
      <c r="F15" s="251">
        <f>IF('Phase de poule'!F11&lt;&gt;"",'Phase de poule'!F11,"")</f>
      </c>
      <c r="G15" s="251">
        <f>IF('Phase de poule'!G11&lt;&gt;"",'Phase de poule'!G11,"")</f>
      </c>
      <c r="H15" s="250">
        <f>'Phase de poule'!C12</f>
      </c>
      <c r="I15" s="251">
        <f t="shared" si="1"/>
      </c>
      <c r="J15" s="251">
        <f>IF('Phase de poule'!D12&lt;&gt;"",'Phase de poule'!D12,"")</f>
      </c>
      <c r="K15" s="251">
        <f>IF('Phase de poule'!E12&lt;&gt;"",'Phase de poule'!E12,"")</f>
      </c>
      <c r="L15" s="251">
        <f>IF('Phase de poule'!F12&lt;&gt;"",'Phase de poule'!F12,"")</f>
      </c>
      <c r="M15" s="251">
        <f>IF('Phase de poule'!G12&lt;&gt;"",'Phase de poule'!G12,"")</f>
      </c>
      <c r="N15" s="248"/>
    </row>
    <row r="16" spans="1:14" ht="18" customHeight="1">
      <c r="A16" s="265">
        <v>5</v>
      </c>
      <c r="B16" s="243">
        <f>'Phase de poule'!C13</f>
      </c>
      <c r="C16" s="246">
        <f t="shared" si="0"/>
      </c>
      <c r="D16" s="246">
        <f>IF('Phase de poule'!D13&lt;&gt;"",'Phase de poule'!D13,"")</f>
      </c>
      <c r="E16" s="246">
        <f>IF('Phase de poule'!E13&lt;&gt;"",'Phase de poule'!E13,"")</f>
      </c>
      <c r="F16" s="246">
        <f>IF('Phase de poule'!F13&lt;&gt;"",'Phase de poule'!F13,"")</f>
      </c>
      <c r="G16" s="246">
        <f>IF('Phase de poule'!G13&lt;&gt;"",'Phase de poule'!G13,"")</f>
      </c>
      <c r="H16" s="243">
        <f>'Phase de poule'!C14</f>
      </c>
      <c r="I16" s="246">
        <f t="shared" si="1"/>
      </c>
      <c r="J16" s="246">
        <f>IF('Phase de poule'!D14&lt;&gt;"",'Phase de poule'!D14,"")</f>
      </c>
      <c r="K16" s="246">
        <f>IF('Phase de poule'!E14&lt;&gt;"",'Phase de poule'!E14,"")</f>
      </c>
      <c r="L16" s="246">
        <f>IF('Phase de poule'!F14&lt;&gt;"",'Phase de poule'!F14,"")</f>
      </c>
      <c r="M16" s="246">
        <f>IF('Phase de poule'!G14&lt;&gt;"",'Phase de poule'!G14,"")</f>
      </c>
      <c r="N16" s="248"/>
    </row>
    <row r="17" spans="1:14" ht="18" customHeight="1">
      <c r="A17" s="253">
        <v>6</v>
      </c>
      <c r="B17" s="250">
        <f>'Phase de poule'!C15</f>
      </c>
      <c r="C17" s="251">
        <f t="shared" si="0"/>
      </c>
      <c r="D17" s="251">
        <f>IF('Phase de poule'!D15&lt;&gt;"",'Phase de poule'!D15,"")</f>
      </c>
      <c r="E17" s="251">
        <f>IF('Phase de poule'!E15&lt;&gt;"",'Phase de poule'!E15,"")</f>
      </c>
      <c r="F17" s="251">
        <f>IF('Phase de poule'!F15&lt;&gt;"",'Phase de poule'!F15,"")</f>
      </c>
      <c r="G17" s="251">
        <f>IF('Phase de poule'!G15&lt;&gt;"",'Phase de poule'!G15,"")</f>
      </c>
      <c r="H17" s="250">
        <f>'Phase de poule'!C16</f>
      </c>
      <c r="I17" s="251">
        <f t="shared" si="1"/>
      </c>
      <c r="J17" s="251">
        <f>IF('Phase de poule'!D16&lt;&gt;"",'Phase de poule'!D16,"")</f>
      </c>
      <c r="K17" s="251">
        <f>IF('Phase de poule'!E16&lt;&gt;"",'Phase de poule'!E16,"")</f>
      </c>
      <c r="L17" s="251">
        <f>IF('Phase de poule'!F16&lt;&gt;"",'Phase de poule'!F16,"")</f>
      </c>
      <c r="M17" s="251">
        <f>IF('Phase de poule'!G16&lt;&gt;"",'Phase de poule'!G16,"")</f>
      </c>
      <c r="N17" s="248"/>
    </row>
    <row r="18" spans="1:14" ht="18" customHeight="1">
      <c r="A18" s="265">
        <v>7</v>
      </c>
      <c r="B18" s="243">
        <f>'Phase de poule'!C18</f>
      </c>
      <c r="C18" s="246">
        <f t="shared" si="0"/>
      </c>
      <c r="D18" s="246">
        <f>IF('Phase de poule'!D18&lt;&gt;"",'Phase de poule'!D18,"")</f>
      </c>
      <c r="E18" s="246">
        <f>IF('Phase de poule'!E18&lt;&gt;"",'Phase de poule'!E18,"")</f>
      </c>
      <c r="F18" s="246">
        <f>IF('Phase de poule'!F18&lt;&gt;"",'Phase de poule'!F18,"")</f>
      </c>
      <c r="G18" s="246">
        <f>IF('Phase de poule'!G18&lt;&gt;"",'Phase de poule'!G18,"")</f>
      </c>
      <c r="H18" s="243">
        <f>'Phase de poule'!C19</f>
      </c>
      <c r="I18" s="246">
        <f t="shared" si="1"/>
      </c>
      <c r="J18" s="246">
        <f>IF('Phase de poule'!D19&lt;&gt;"",'Phase de poule'!D19,"")</f>
      </c>
      <c r="K18" s="246">
        <f>IF('Phase de poule'!E19&lt;&gt;"",'Phase de poule'!E19,"")</f>
      </c>
      <c r="L18" s="246">
        <f>IF('Phase de poule'!F19&lt;&gt;"",'Phase de poule'!F19,"")</f>
      </c>
      <c r="M18" s="246">
        <f>IF('Phase de poule'!G19&lt;&gt;"",'Phase de poule'!G19,"")</f>
      </c>
      <c r="N18" s="248"/>
    </row>
    <row r="19" spans="1:14" ht="18" customHeight="1">
      <c r="A19" s="253">
        <v>8</v>
      </c>
      <c r="B19" s="250">
        <f>'Phase de poule'!C20</f>
      </c>
      <c r="C19" s="251">
        <f t="shared" si="0"/>
      </c>
      <c r="D19" s="251">
        <f>IF('Phase de poule'!D20&lt;&gt;"",'Phase de poule'!D20,"")</f>
      </c>
      <c r="E19" s="251">
        <f>IF('Phase de poule'!E20&lt;&gt;"",'Phase de poule'!E20,"")</f>
      </c>
      <c r="F19" s="251">
        <f>IF('Phase de poule'!F20&lt;&gt;"",'Phase de poule'!F20,"")</f>
      </c>
      <c r="G19" s="251">
        <f>IF('Phase de poule'!G20&lt;&gt;"",'Phase de poule'!G20,"")</f>
      </c>
      <c r="H19" s="250">
        <f>'Phase de poule'!C21</f>
      </c>
      <c r="I19" s="251">
        <f t="shared" si="1"/>
      </c>
      <c r="J19" s="251">
        <f>IF('Phase de poule'!D21&lt;&gt;"",'Phase de poule'!D21,"")</f>
      </c>
      <c r="K19" s="251">
        <f>IF('Phase de poule'!E21&lt;&gt;"",'Phase de poule'!E21,"")</f>
      </c>
      <c r="L19" s="251">
        <f>IF('Phase de poule'!F21&lt;&gt;"",'Phase de poule'!F21,"")</f>
      </c>
      <c r="M19" s="251">
        <f>IF('Phase de poule'!G21&lt;&gt;"",'Phase de poule'!G21,"")</f>
      </c>
      <c r="N19" s="248"/>
    </row>
    <row r="20" spans="1:14" ht="18" customHeight="1">
      <c r="A20" s="265">
        <v>9</v>
      </c>
      <c r="B20" s="243">
        <f>'Phase de poule'!C22</f>
      </c>
      <c r="C20" s="246">
        <f t="shared" si="0"/>
      </c>
      <c r="D20" s="246">
        <f>IF('Phase de poule'!D22&lt;&gt;"",'Phase de poule'!D22,"")</f>
      </c>
      <c r="E20" s="246">
        <f>IF('Phase de poule'!E22&lt;&gt;"",'Phase de poule'!E22,"")</f>
      </c>
      <c r="F20" s="246">
        <f>IF('Phase de poule'!F22&lt;&gt;"",'Phase de poule'!F22,"")</f>
      </c>
      <c r="G20" s="246">
        <f>IF('Phase de poule'!G22&lt;&gt;"",'Phase de poule'!G22,"")</f>
      </c>
      <c r="H20" s="243">
        <f>'Phase de poule'!C23</f>
      </c>
      <c r="I20" s="246">
        <f t="shared" si="1"/>
      </c>
      <c r="J20" s="246">
        <f>IF('Phase de poule'!D23&lt;&gt;"",'Phase de poule'!D23,"")</f>
      </c>
      <c r="K20" s="246">
        <f>IF('Phase de poule'!E23&lt;&gt;"",'Phase de poule'!E23,"")</f>
      </c>
      <c r="L20" s="246">
        <f>IF('Phase de poule'!F23&lt;&gt;"",'Phase de poule'!F23,"")</f>
      </c>
      <c r="M20" s="246">
        <f>IF('Phase de poule'!G23&lt;&gt;"",'Phase de poule'!G23,"")</f>
      </c>
      <c r="N20" s="248"/>
    </row>
    <row r="21" spans="1:14" ht="18" customHeight="1">
      <c r="A21" s="253">
        <v>10</v>
      </c>
      <c r="B21" s="250">
        <f>'Phase finale'!C4</f>
      </c>
      <c r="C21" s="251">
        <f t="shared" si="0"/>
      </c>
      <c r="D21" s="251">
        <f>IF('Phase finale'!E4&lt;&gt;"",'Phase finale'!E4,"")</f>
      </c>
      <c r="E21" s="251">
        <f>IF('Phase finale'!F4&lt;&gt;"",'Phase finale'!F4,"")</f>
      </c>
      <c r="F21" s="251">
        <f>IF('Phase finale'!G4&lt;&gt;"",'Phase finale'!G4,"")</f>
      </c>
      <c r="G21" s="251">
        <f>IF('Phase finale'!H4&lt;&gt;"",'Phase finale'!H4,"")</f>
      </c>
      <c r="H21" s="250">
        <f>'Phase finale'!C5</f>
      </c>
      <c r="I21" s="251">
        <f t="shared" si="1"/>
      </c>
      <c r="J21" s="251">
        <f>IF('Phase finale'!E5&lt;&gt;"",'Phase finale'!E5,"")</f>
      </c>
      <c r="K21" s="251">
        <f>IF('Phase finale'!F5&lt;&gt;"",'Phase finale'!F5,"")</f>
      </c>
      <c r="L21" s="251">
        <f>IF('Phase finale'!G5&lt;&gt;"",'Phase finale'!G5,"")</f>
      </c>
      <c r="M21" s="251">
        <f>IF('Phase finale'!H5&lt;&gt;"",'Phase finale'!H5,"")</f>
      </c>
      <c r="N21" s="248"/>
    </row>
    <row r="22" spans="1:14" ht="18" customHeight="1">
      <c r="A22" s="265">
        <v>11</v>
      </c>
      <c r="B22" s="243">
        <f>'Phase finale'!C6</f>
      </c>
      <c r="C22" s="246">
        <f t="shared" si="0"/>
      </c>
      <c r="D22" s="246">
        <f>IF('Phase finale'!E6&lt;&gt;"",'Phase finale'!E6,"")</f>
      </c>
      <c r="E22" s="246">
        <f>IF('Phase finale'!F6&lt;&gt;"",'Phase finale'!F6,"")</f>
      </c>
      <c r="F22" s="246">
        <f>IF('Phase finale'!G6&lt;&gt;"",'Phase finale'!G6,"")</f>
      </c>
      <c r="G22" s="246">
        <f>IF('Phase finale'!H6&lt;&gt;"",'Phase finale'!H6,"")</f>
      </c>
      <c r="H22" s="243">
        <f>'Phase finale'!C7</f>
      </c>
      <c r="I22" s="246">
        <f t="shared" si="1"/>
      </c>
      <c r="J22" s="246">
        <f>IF('Phase finale'!E7&lt;&gt;"",'Phase finale'!E7,"")</f>
      </c>
      <c r="K22" s="246">
        <f>IF('Phase finale'!F7&lt;&gt;"",'Phase finale'!F7,"")</f>
      </c>
      <c r="L22" s="246">
        <f>IF('Phase finale'!G7&lt;&gt;"",'Phase finale'!G7,"")</f>
      </c>
      <c r="M22" s="246">
        <f>IF('Phase finale'!H7&lt;&gt;"",'Phase finale'!H7,"")</f>
      </c>
      <c r="N22" s="248"/>
    </row>
    <row r="23" spans="1:14" ht="18" customHeight="1">
      <c r="A23" s="253">
        <v>12</v>
      </c>
      <c r="B23" s="250">
        <f>'Phase finale'!C8</f>
      </c>
      <c r="C23" s="251">
        <f t="shared" si="0"/>
      </c>
      <c r="D23" s="251">
        <f>IF('Phase finale'!E8&lt;&gt;"",'Phase finale'!E8,"")</f>
      </c>
      <c r="E23" s="251">
        <f>IF('Phase finale'!F8&lt;&gt;"",'Phase finale'!F8,"")</f>
      </c>
      <c r="F23" s="251">
        <f>IF('Phase finale'!G8&lt;&gt;"",'Phase finale'!G8,"")</f>
      </c>
      <c r="G23" s="251">
        <f>IF('Phase finale'!H8&lt;&gt;"",'Phase finale'!H8,"")</f>
      </c>
      <c r="H23" s="250">
        <f>'Phase finale'!C9</f>
      </c>
      <c r="I23" s="251">
        <f t="shared" si="1"/>
      </c>
      <c r="J23" s="251">
        <f>IF('Phase finale'!E9&lt;&gt;"",'Phase finale'!E9,"")</f>
      </c>
      <c r="K23" s="251">
        <f>IF('Phase finale'!F9&lt;&gt;"",'Phase finale'!F9,"")</f>
      </c>
      <c r="L23" s="251">
        <f>IF('Phase finale'!G9&lt;&gt;"",'Phase finale'!G9,"")</f>
      </c>
      <c r="M23" s="251">
        <f>IF('Phase finale'!H9&lt;&gt;"",'Phase finale'!H9,"")</f>
      </c>
      <c r="N23" s="248"/>
    </row>
    <row r="24" spans="1:14" ht="18" customHeight="1">
      <c r="A24" s="265">
        <v>13</v>
      </c>
      <c r="B24" s="243">
        <f>'Phase finale'!C11</f>
      </c>
      <c r="C24" s="246">
        <f t="shared" si="0"/>
      </c>
      <c r="D24" s="246">
        <f>IF('Phase finale'!E11&lt;&gt;"",'Phase finale'!E11,"")</f>
      </c>
      <c r="E24" s="246">
        <f>IF('Phase finale'!F11&lt;&gt;"",'Phase finale'!F11,"")</f>
      </c>
      <c r="F24" s="246">
        <f>IF('Phase finale'!G11&lt;&gt;"",'Phase finale'!G11,"")</f>
      </c>
      <c r="G24" s="246">
        <f>IF('Phase finale'!H11&lt;&gt;"",'Phase finale'!H11,"")</f>
      </c>
      <c r="H24" s="243">
        <f>'Phase finale'!C12</f>
      </c>
      <c r="I24" s="246">
        <f t="shared" si="1"/>
      </c>
      <c r="J24" s="246">
        <f>IF('Phase finale'!E12&lt;&gt;"",'Phase finale'!E12,"")</f>
      </c>
      <c r="K24" s="246">
        <f>IF('Phase finale'!F12&lt;&gt;"",'Phase finale'!F12,"")</f>
      </c>
      <c r="L24" s="246">
        <f>IF('Phase finale'!G12&lt;&gt;"",'Phase finale'!G12,"")</f>
      </c>
      <c r="M24" s="246">
        <f>IF('Phase finale'!H12&lt;&gt;"",'Phase finale'!H12,"")</f>
      </c>
      <c r="N24" s="248"/>
    </row>
    <row r="25" spans="1:14" ht="18" customHeight="1">
      <c r="A25" s="253">
        <v>14</v>
      </c>
      <c r="B25" s="250">
        <f>'Phase finale'!C13</f>
      </c>
      <c r="C25" s="251">
        <f t="shared" si="0"/>
      </c>
      <c r="D25" s="251">
        <f>IF('Phase finale'!E13&lt;&gt;"",'Phase finale'!E13,"")</f>
      </c>
      <c r="E25" s="251">
        <f>IF('Phase finale'!F13&lt;&gt;"",'Phase finale'!F13,"")</f>
      </c>
      <c r="F25" s="251">
        <f>IF('Phase finale'!G13&lt;&gt;"",'Phase finale'!G13,"")</f>
      </c>
      <c r="G25" s="251">
        <f>IF('Phase finale'!H13&lt;&gt;"",'Phase finale'!H13,"")</f>
      </c>
      <c r="H25" s="250">
        <f>'Phase finale'!C14</f>
      </c>
      <c r="I25" s="251">
        <f t="shared" si="1"/>
      </c>
      <c r="J25" s="251">
        <f>IF('Phase finale'!E14&lt;&gt;"",'Phase finale'!E14,"")</f>
      </c>
      <c r="K25" s="251">
        <f>IF('Phase finale'!F14&lt;&gt;"",'Phase finale'!F14,"")</f>
      </c>
      <c r="L25" s="251">
        <f>IF('Phase finale'!G14&lt;&gt;"",'Phase finale'!G14,"")</f>
      </c>
      <c r="M25" s="251">
        <f>IF('Phase finale'!H14&lt;&gt;"",'Phase finale'!H14,"")</f>
      </c>
      <c r="N25" s="248"/>
    </row>
    <row r="26" spans="1:14" ht="18" customHeight="1">
      <c r="A26" s="266">
        <v>15</v>
      </c>
      <c r="B26" s="244">
        <f>'Phase finale'!C15</f>
      </c>
      <c r="C26" s="247">
        <f t="shared" si="0"/>
      </c>
      <c r="D26" s="247">
        <f>IF('Phase finale'!E15&lt;&gt;"",'Phase finale'!E15,"")</f>
      </c>
      <c r="E26" s="247">
        <f>IF('Phase finale'!F15&lt;&gt;"",'Phase finale'!F15,"")</f>
      </c>
      <c r="F26" s="247">
        <f>IF('Phase finale'!G15&lt;&gt;"",'Phase finale'!G15,"")</f>
      </c>
      <c r="G26" s="247">
        <f>IF('Phase finale'!H15&lt;&gt;"",'Phase finale'!H15,"")</f>
      </c>
      <c r="H26" s="244">
        <f>'Phase finale'!C16</f>
      </c>
      <c r="I26" s="247">
        <f t="shared" si="1"/>
      </c>
      <c r="J26" s="247">
        <f>IF('Phase finale'!E16&lt;&gt;"",'Phase finale'!E16,"")</f>
      </c>
      <c r="K26" s="247">
        <f>IF('Phase finale'!F16&lt;&gt;"",'Phase finale'!F16,"")</f>
      </c>
      <c r="L26" s="247">
        <f>IF('Phase finale'!G16&lt;&gt;"",'Phase finale'!G16,"")</f>
      </c>
      <c r="M26" s="247">
        <f>IF('Phase finale'!H16&lt;&gt;"",'Phase finale'!H16,"")</f>
      </c>
      <c r="N26" s="248"/>
    </row>
    <row r="27" ht="21" customHeight="1">
      <c r="A27" s="249"/>
    </row>
  </sheetData>
  <sheetProtection password="CC38" sheet="1" selectLockedCells="1" selectUnlockedCells="1"/>
  <mergeCells count="15">
    <mergeCell ref="D8:H8"/>
    <mergeCell ref="B10:G10"/>
    <mergeCell ref="H10:M10"/>
    <mergeCell ref="A1:M1"/>
    <mergeCell ref="D3:H3"/>
    <mergeCell ref="D4:H4"/>
    <mergeCell ref="D5:H5"/>
    <mergeCell ref="D6:H6"/>
    <mergeCell ref="D7:H7"/>
    <mergeCell ref="B3:C3"/>
    <mergeCell ref="B4:C4"/>
    <mergeCell ref="B5:C5"/>
    <mergeCell ref="B6:C6"/>
    <mergeCell ref="B7:C7"/>
    <mergeCell ref="B8:C8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Vigne</dc:creator>
  <cp:keywords/>
  <dc:description/>
  <cp:lastModifiedBy>Pierre Vigne</cp:lastModifiedBy>
  <cp:lastPrinted>2019-01-07T08:33:43Z</cp:lastPrinted>
  <dcterms:created xsi:type="dcterms:W3CDTF">2002-12-29T10:38:03Z</dcterms:created>
  <dcterms:modified xsi:type="dcterms:W3CDTF">2019-10-10T07:17:17Z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